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880" windowHeight="8025" activeTab="0"/>
  </bookViews>
  <sheets>
    <sheet name="Balans" sheetId="1" r:id="rId1"/>
    <sheet name="Start" sheetId="2" r:id="rId2"/>
    <sheet name="Trip" sheetId="3" r:id="rId3"/>
  </sheets>
  <definedNames/>
  <calcPr fullCalcOnLoad="1"/>
</workbook>
</file>

<file path=xl/sharedStrings.xml><?xml version="1.0" encoding="utf-8"?>
<sst xmlns="http://schemas.openxmlformats.org/spreadsheetml/2006/main" count="369" uniqueCount="177">
  <si>
    <t>SE-IFF</t>
  </si>
  <si>
    <t>Totalvikt (kg)</t>
  </si>
  <si>
    <t>Vikter</t>
  </si>
  <si>
    <t>Max flygtid</t>
  </si>
  <si>
    <t>tim</t>
  </si>
  <si>
    <t>min utan reserv</t>
  </si>
  <si>
    <t>Framsäte</t>
  </si>
  <si>
    <t>Pilot</t>
  </si>
  <si>
    <t>Copilot</t>
  </si>
  <si>
    <t>Baksäte</t>
  </si>
  <si>
    <t>Passagerare 1</t>
  </si>
  <si>
    <t>Passagerare 2</t>
  </si>
  <si>
    <t>Bagagerum</t>
  </si>
  <si>
    <t>Bränslemängd (l)</t>
  </si>
  <si>
    <t xml:space="preserve">Bränsledensitet </t>
  </si>
  <si>
    <t>Förbr. per tim</t>
  </si>
  <si>
    <t>Fasta egenskaper</t>
  </si>
  <si>
    <t>Tomvikt</t>
  </si>
  <si>
    <t>Max startvikt</t>
  </si>
  <si>
    <t>Max landningsvikt</t>
  </si>
  <si>
    <t>Position (cm)</t>
  </si>
  <si>
    <t>Bränsle</t>
  </si>
  <si>
    <t>Bagage</t>
  </si>
  <si>
    <t>Gränser</t>
  </si>
  <si>
    <t>Moment</t>
  </si>
  <si>
    <t>Vikt</t>
  </si>
  <si>
    <t>Aktuella värden</t>
  </si>
  <si>
    <t>Moment (kg m)</t>
  </si>
  <si>
    <t>Totalt</t>
  </si>
  <si>
    <t>Tom tank</t>
  </si>
  <si>
    <t>Start</t>
  </si>
  <si>
    <t>Startvikt</t>
  </si>
  <si>
    <t>kg</t>
  </si>
  <si>
    <t>Startstäcka till 50 fot</t>
  </si>
  <si>
    <t>meter på asfalt</t>
  </si>
  <si>
    <t>Temp</t>
  </si>
  <si>
    <t>C</t>
  </si>
  <si>
    <t>meter på gräs</t>
  </si>
  <si>
    <t>Höjd</t>
  </si>
  <si>
    <t>Fot</t>
  </si>
  <si>
    <t>Giltig upp till 5000 fot</t>
  </si>
  <si>
    <t>Motvindskomponent</t>
  </si>
  <si>
    <t>knop</t>
  </si>
  <si>
    <t>(Halva motvinden räknas)</t>
  </si>
  <si>
    <t>Medvindskomponent</t>
  </si>
  <si>
    <t>(Tre gånger medvinden räknas)</t>
  </si>
  <si>
    <t>Sidvindskomponent</t>
  </si>
  <si>
    <t>Vatten, slask</t>
  </si>
  <si>
    <t>cm</t>
  </si>
  <si>
    <t>(Max 2.5 cm)</t>
  </si>
  <si>
    <t>Kramsnö</t>
  </si>
  <si>
    <t>(Max 5 cm)</t>
  </si>
  <si>
    <t>Pudersnö</t>
  </si>
  <si>
    <t>(Max 10 cm)</t>
  </si>
  <si>
    <t>Flygplansspecifika konstanter</t>
  </si>
  <si>
    <t>Gränsen mellan lätt och hård sidvind</t>
  </si>
  <si>
    <t>Viktberoendet</t>
  </si>
  <si>
    <t>b</t>
  </si>
  <si>
    <t>c</t>
  </si>
  <si>
    <t>a</t>
  </si>
  <si>
    <t>Temperaturberoendet</t>
  </si>
  <si>
    <t>T</t>
  </si>
  <si>
    <t>K</t>
  </si>
  <si>
    <t>d</t>
  </si>
  <si>
    <t>e</t>
  </si>
  <si>
    <t>Startsträcka utan vind</t>
  </si>
  <si>
    <t>f</t>
  </si>
  <si>
    <t>Höjdberoendet</t>
  </si>
  <si>
    <t>g</t>
  </si>
  <si>
    <t>Startsträcka på asfalt vid lätt sidvind</t>
  </si>
  <si>
    <t>m</t>
  </si>
  <si>
    <t>Startsträcka</t>
  </si>
  <si>
    <t>Okorr</t>
  </si>
  <si>
    <t>Asfalt</t>
  </si>
  <si>
    <t>Gräs</t>
  </si>
  <si>
    <t>Fuel etc.</t>
  </si>
  <si>
    <t>Riktn</t>
  </si>
  <si>
    <t>speed</t>
  </si>
  <si>
    <t>Vektor</t>
  </si>
  <si>
    <t>liter</t>
  </si>
  <si>
    <t>Route</t>
  </si>
  <si>
    <t>Dist(nm)</t>
  </si>
  <si>
    <t>Track</t>
  </si>
  <si>
    <t>Flow</t>
  </si>
  <si>
    <t>liter/h</t>
  </si>
  <si>
    <t>Vårgårda</t>
  </si>
  <si>
    <t>Price</t>
  </si>
  <si>
    <t>kr/liter</t>
  </si>
  <si>
    <t>Date</t>
  </si>
  <si>
    <t>Back</t>
  </si>
  <si>
    <t>Engine</t>
  </si>
  <si>
    <t>kr/h</t>
  </si>
  <si>
    <t>Propeller</t>
  </si>
  <si>
    <t>Power</t>
  </si>
  <si>
    <t>%</t>
  </si>
  <si>
    <t>hp</t>
  </si>
  <si>
    <t>100-tim</t>
  </si>
  <si>
    <t>Max wt</t>
  </si>
  <si>
    <t>Distance</t>
  </si>
  <si>
    <t>nm</t>
  </si>
  <si>
    <t>Glide speed</t>
  </si>
  <si>
    <t>km/h</t>
  </si>
  <si>
    <t>Wind</t>
  </si>
  <si>
    <t>Deg</t>
  </si>
  <si>
    <t>kts</t>
  </si>
  <si>
    <t>Glide ratio</t>
  </si>
  <si>
    <t>Climb rate</t>
  </si>
  <si>
    <t>ft/min</t>
  </si>
  <si>
    <t>GND</t>
  </si>
  <si>
    <t>Vertical speed</t>
  </si>
  <si>
    <t>m/s</t>
  </si>
  <si>
    <t>Descent rate</t>
  </si>
  <si>
    <t>Extra power</t>
  </si>
  <si>
    <t>Descent speed factor</t>
  </si>
  <si>
    <t>Altitude</t>
  </si>
  <si>
    <t>TAS</t>
  </si>
  <si>
    <t>Tailwind</t>
  </si>
  <si>
    <t>Climb</t>
  </si>
  <si>
    <t>Desc time</t>
  </si>
  <si>
    <t>Desc</t>
  </si>
  <si>
    <t>Cruise</t>
  </si>
  <si>
    <t>Time</t>
  </si>
  <si>
    <t>Cost</t>
  </si>
  <si>
    <t>ft</t>
  </si>
  <si>
    <t>kt</t>
  </si>
  <si>
    <t>minutes</t>
  </si>
  <si>
    <t>to 1000 '</t>
  </si>
  <si>
    <t>dist</t>
  </si>
  <si>
    <t>Hours</t>
  </si>
  <si>
    <t>h</t>
  </si>
  <si>
    <t>kr</t>
  </si>
  <si>
    <t>W - G</t>
  </si>
  <si>
    <t>sin(G-F)</t>
  </si>
  <si>
    <t>G - F</t>
  </si>
  <si>
    <t>Heading</t>
  </si>
  <si>
    <t>F-comp</t>
  </si>
  <si>
    <t>W-comp</t>
  </si>
  <si>
    <t>GS</t>
  </si>
  <si>
    <t>F/sin(W-G)=W/sin(G-F)</t>
  </si>
  <si>
    <t>sin(G-F) = W sin(W-G) / F</t>
  </si>
  <si>
    <t>G = F cos( G - F ) + W cos( W - G )</t>
  </si>
  <si>
    <t>Max normal power</t>
  </si>
  <si>
    <t>Climb power</t>
  </si>
  <si>
    <t>Cruise power</t>
  </si>
  <si>
    <t>Sträcka</t>
  </si>
  <si>
    <t>Dist (nm)</t>
  </si>
  <si>
    <t>kurs</t>
  </si>
  <si>
    <t>retur</t>
  </si>
  <si>
    <t>Vårgårda-Barkaby</t>
  </si>
  <si>
    <t>Vårgårda-Bremen</t>
  </si>
  <si>
    <t>Borås - Roskilde</t>
  </si>
  <si>
    <t>Referensvikt vref</t>
  </si>
  <si>
    <t>v-vref</t>
  </si>
  <si>
    <t>Iterera goalseek på en mellanvikt och maxvikt</t>
  </si>
  <si>
    <t>för att bestämma e och f</t>
  </si>
  <si>
    <t>Referenstemperatur</t>
  </si>
  <si>
    <t>Tkorr</t>
  </si>
  <si>
    <t>Hkorr</t>
  </si>
  <si>
    <t xml:space="preserve">a = (d + e * (v -vref) + f * (v-vref)^2) </t>
  </si>
  <si>
    <t>Tkorr = T/Tref*(1+ b * (1-T/Tref) + c * (1-T/Tref) ^ 2 )</t>
  </si>
  <si>
    <t>T/Tref</t>
  </si>
  <si>
    <t>S = a * Tkorr * Hkorr</t>
  </si>
  <si>
    <t>Hkorr = exp( g * h / T )</t>
  </si>
  <si>
    <t>Tabell för best. av e och f</t>
  </si>
  <si>
    <t>Temp (C)</t>
  </si>
  <si>
    <t>Startstr</t>
  </si>
  <si>
    <t>Skall vara</t>
  </si>
  <si>
    <t>Diff</t>
  </si>
  <si>
    <t>Inkl korr</t>
  </si>
  <si>
    <t>Climb speed</t>
  </si>
  <si>
    <t>knots</t>
  </si>
  <si>
    <t>Power to keep alt.</t>
  </si>
  <si>
    <t>Fuel flow</t>
  </si>
  <si>
    <t>Cessna 172</t>
  </si>
  <si>
    <t>Startsträcka till 50 ft vid 0 grader, 0 ft över havet och referensvikt</t>
  </si>
  <si>
    <t>Mariehamn</t>
  </si>
  <si>
    <t>m alt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</si>
</sst>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#"/>
    <numFmt numFmtId="190" formatCode="0.0000"/>
    <numFmt numFmtId="191" formatCode="0.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188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8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0" xfId="0" applyFill="1" applyAlignment="1">
      <alignment/>
    </xf>
    <xf numFmtId="11" fontId="0" fillId="0" borderId="0" xfId="0" applyNumberFormat="1" applyAlignment="1">
      <alignment/>
    </xf>
    <xf numFmtId="188" fontId="0" fillId="3" borderId="0" xfId="0" applyNumberFormat="1" applyFill="1" applyAlignment="1">
      <alignment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right"/>
    </xf>
    <xf numFmtId="0" fontId="6" fillId="0" borderId="0" xfId="0" applyFont="1" applyAlignment="1">
      <alignment/>
    </xf>
    <xf numFmtId="0" fontId="1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Vikt- och balansdiagram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0025"/>
          <c:w val="0.8845"/>
          <c:h val="0.769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Balans!$B$52:$B$53</c:f>
              <c:numCache/>
            </c:numRef>
          </c:xVal>
          <c:yVal>
            <c:numRef>
              <c:f>Balans!$C$52:$C$53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Balans!$A$34:$A$35</c:f>
              <c:numCache/>
            </c:numRef>
          </c:xVal>
          <c:yVal>
            <c:numRef>
              <c:f>Balans!$B$34:$B$35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Balans!$A$35:$A$36</c:f>
              <c:numCache/>
            </c:numRef>
          </c:xVal>
          <c:yVal>
            <c:numRef>
              <c:f>Balans!$B$35:$B$36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Balans!$A$36:$A$37</c:f>
              <c:numCache/>
            </c:numRef>
          </c:xVal>
          <c:yVal>
            <c:numRef>
              <c:f>Balans!$B$36:$B$37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Balans!$A$37:$A$38</c:f>
              <c:numCache/>
            </c:numRef>
          </c:xVal>
          <c:yVal>
            <c:numRef>
              <c:f>Balans!$B$37:$B$38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Balans!$A$38:$A$39</c:f>
              <c:numCache/>
            </c:numRef>
          </c:xVal>
          <c:yVal>
            <c:numRef>
              <c:f>Balans!$B$38:$B$39</c:f>
              <c:numCache/>
            </c:numRef>
          </c:yVal>
          <c:smooth val="0"/>
        </c:ser>
        <c:axId val="37003763"/>
        <c:axId val="64598412"/>
      </c:scatterChart>
      <c:valAx>
        <c:axId val="37003763"/>
        <c:scaling>
          <c:orientation val="minMax"/>
          <c:max val="13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Moment (kpm)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598412"/>
        <c:crosses val="autoZero"/>
        <c:crossBetween val="midCat"/>
        <c:dispUnits/>
        <c:majorUnit val="100"/>
      </c:valAx>
      <c:valAx>
        <c:axId val="64598412"/>
        <c:scaling>
          <c:orientation val="minMax"/>
          <c:max val="11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Vikt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03763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.02975"/>
          <c:w val="0.73875"/>
          <c:h val="0.87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Start!$C$112</c:f>
              <c:strCache>
                <c:ptCount val="1"/>
                <c:pt idx="0">
                  <c:v>Asfalt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Start!$A$113:$A$120</c:f>
              <c:numCache/>
            </c:numRef>
          </c:xVal>
          <c:yVal>
            <c:numRef>
              <c:f>Start!$C$113:$C$120</c:f>
              <c:numCache/>
            </c:numRef>
          </c:yVal>
          <c:smooth val="0"/>
        </c:ser>
        <c:ser>
          <c:idx val="1"/>
          <c:order val="1"/>
          <c:tx>
            <c:strRef>
              <c:f>Start!$D$112</c:f>
              <c:strCache>
                <c:ptCount val="1"/>
                <c:pt idx="0">
                  <c:v>Gräs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Start!$A$113:$A$120</c:f>
              <c:numCache/>
            </c:numRef>
          </c:xVal>
          <c:yVal>
            <c:numRef>
              <c:f>Start!$D$113:$D$120</c:f>
              <c:numCache/>
            </c:numRef>
          </c:yVal>
          <c:smooth val="0"/>
        </c:ser>
        <c:axId val="44514797"/>
        <c:axId val="65088854"/>
      </c:scatterChart>
      <c:valAx>
        <c:axId val="44514797"/>
        <c:scaling>
          <c:orientation val="minMax"/>
          <c:max val="1050"/>
          <c:min val="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Startvikt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088854"/>
        <c:crosses val="autoZero"/>
        <c:crossBetween val="midCat"/>
        <c:dispUnits/>
        <c:majorUnit val="50"/>
        <c:minorUnit val="10"/>
      </c:valAx>
      <c:valAx>
        <c:axId val="65088854"/>
        <c:scaling>
          <c:orientation val="minMax"/>
          <c:max val="9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Startsträcka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5147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0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19050</xdr:rowOff>
    </xdr:from>
    <xdr:to>
      <xdr:col>10</xdr:col>
      <xdr:colOff>0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1495425" y="342900"/>
        <a:ext cx="38957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11</xdr:row>
      <xdr:rowOff>66675</xdr:rowOff>
    </xdr:from>
    <xdr:to>
      <xdr:col>7</xdr:col>
      <xdr:colOff>561975</xdr:colOff>
      <xdr:row>32</xdr:row>
      <xdr:rowOff>28575</xdr:rowOff>
    </xdr:to>
    <xdr:graphicFrame>
      <xdr:nvGraphicFramePr>
        <xdr:cNvPr id="1" name="Chart 2"/>
        <xdr:cNvGraphicFramePr/>
      </xdr:nvGraphicFramePr>
      <xdr:xfrm>
        <a:off x="228600" y="1885950"/>
        <a:ext cx="46005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6" sqref="A6"/>
    </sheetView>
  </sheetViews>
  <sheetFormatPr defaultColWidth="9.140625" defaultRowHeight="12.75"/>
  <cols>
    <col min="1" max="1" width="15.140625" style="0" customWidth="1"/>
    <col min="2" max="2" width="6.57421875" style="0" customWidth="1"/>
    <col min="3" max="3" width="11.28125" style="0" customWidth="1"/>
    <col min="4" max="4" width="6.7109375" style="0" customWidth="1"/>
    <col min="5" max="5" width="5.421875" style="0" customWidth="1"/>
    <col min="6" max="6" width="4.28125" style="0" customWidth="1"/>
    <col min="7" max="7" width="4.00390625" style="0" customWidth="1"/>
  </cols>
  <sheetData>
    <row r="1" spans="1:6" ht="12.75">
      <c r="A1" s="22" t="s">
        <v>0</v>
      </c>
      <c r="C1" t="s">
        <v>1</v>
      </c>
      <c r="D1">
        <f>INT(SUM(B4:B11)+B13*B14+B21)</f>
        <v>1045</v>
      </c>
      <c r="E1" s="3">
        <f>IF(D1&gt;B22,"",IF(D1&gt;B23,INT((D1-B23)*B14),""))</f>
      </c>
      <c r="F1" s="3" t="str">
        <f>IF(D1&gt;B22,"ÖVERVIKT! Starta inte!!",IF(D1&gt;B23,"liter måste förbrukas före landning.","Vikt OK"))</f>
        <v>Vikt OK</v>
      </c>
    </row>
    <row r="2" spans="1:7" ht="12.75">
      <c r="A2" s="16" t="s">
        <v>173</v>
      </c>
      <c r="B2" t="s">
        <v>2</v>
      </c>
      <c r="C2" t="s">
        <v>3</v>
      </c>
      <c r="D2" s="4">
        <f>INT((B13-5)/B15)</f>
        <v>3</v>
      </c>
      <c r="E2" t="s">
        <v>4</v>
      </c>
      <c r="F2" s="2">
        <f>INT(((B13-5)/B15-INT((B13-5)/B15))*60)</f>
        <v>30</v>
      </c>
      <c r="G2" t="s">
        <v>5</v>
      </c>
    </row>
    <row r="3" ht="12.75">
      <c r="A3" t="s">
        <v>6</v>
      </c>
    </row>
    <row r="4" spans="1:2" ht="12.75">
      <c r="A4" t="s">
        <v>7</v>
      </c>
      <c r="B4" s="1">
        <v>73</v>
      </c>
    </row>
    <row r="5" spans="1:2" ht="12.75">
      <c r="A5" t="s">
        <v>8</v>
      </c>
      <c r="B5" s="1">
        <v>65</v>
      </c>
    </row>
    <row r="7" ht="12.75">
      <c r="A7" t="s">
        <v>9</v>
      </c>
    </row>
    <row r="8" spans="1:2" ht="12.75">
      <c r="A8" t="s">
        <v>10</v>
      </c>
      <c r="B8" s="1">
        <v>61</v>
      </c>
    </row>
    <row r="9" spans="1:2" ht="12.75">
      <c r="A9" t="s">
        <v>11</v>
      </c>
      <c r="B9" s="1">
        <v>60</v>
      </c>
    </row>
    <row r="11" spans="1:2" ht="12.75">
      <c r="A11" t="s">
        <v>12</v>
      </c>
      <c r="B11" s="1">
        <v>15</v>
      </c>
    </row>
    <row r="13" spans="1:2" ht="12.75">
      <c r="A13" t="s">
        <v>13</v>
      </c>
      <c r="B13" s="1">
        <v>110</v>
      </c>
    </row>
    <row r="14" spans="1:2" ht="12.75">
      <c r="A14" t="s">
        <v>14</v>
      </c>
      <c r="B14" s="1">
        <v>0.71</v>
      </c>
    </row>
    <row r="15" spans="1:2" ht="12.75">
      <c r="A15" t="s">
        <v>15</v>
      </c>
      <c r="B15" s="1">
        <v>30</v>
      </c>
    </row>
    <row r="20" ht="12.75">
      <c r="B20" t="s">
        <v>16</v>
      </c>
    </row>
    <row r="21" spans="1:2" ht="12.75">
      <c r="A21" t="s">
        <v>17</v>
      </c>
      <c r="B21" s="16">
        <v>693</v>
      </c>
    </row>
    <row r="22" spans="1:2" ht="12.75">
      <c r="A22" t="s">
        <v>18</v>
      </c>
      <c r="B22" s="16">
        <v>1045</v>
      </c>
    </row>
    <row r="23" spans="1:2" ht="12.75">
      <c r="A23" t="s">
        <v>19</v>
      </c>
      <c r="B23" s="16">
        <v>1045</v>
      </c>
    </row>
    <row r="25" ht="12.75">
      <c r="B25" t="s">
        <v>20</v>
      </c>
    </row>
    <row r="26" spans="1:2" ht="12.75">
      <c r="A26" t="s">
        <v>17</v>
      </c>
      <c r="B26" s="16">
        <v>103.1</v>
      </c>
    </row>
    <row r="27" spans="1:2" ht="12.75">
      <c r="A27" t="s">
        <v>6</v>
      </c>
      <c r="B27" s="16">
        <v>94</v>
      </c>
    </row>
    <row r="28" spans="1:2" ht="12.75">
      <c r="A28" t="s">
        <v>9</v>
      </c>
      <c r="B28" s="16">
        <v>185</v>
      </c>
    </row>
    <row r="29" spans="1:2" ht="12.75">
      <c r="A29" t="s">
        <v>21</v>
      </c>
      <c r="B29" s="16">
        <v>122</v>
      </c>
    </row>
    <row r="30" spans="1:2" ht="12.75">
      <c r="A30" t="s">
        <v>22</v>
      </c>
      <c r="B30" s="16">
        <v>241</v>
      </c>
    </row>
    <row r="32" spans="1:2" ht="12.75">
      <c r="A32" s="2" t="s">
        <v>23</v>
      </c>
      <c r="B32" s="2"/>
    </row>
    <row r="33" spans="1:2" ht="12.75">
      <c r="A33" s="2" t="s">
        <v>24</v>
      </c>
      <c r="B33" s="2" t="s">
        <v>25</v>
      </c>
    </row>
    <row r="34" spans="1:2" ht="12.75">
      <c r="A34" s="16">
        <v>605</v>
      </c>
      <c r="B34" s="16">
        <v>675</v>
      </c>
    </row>
    <row r="35" spans="1:2" ht="12.75">
      <c r="A35" s="16">
        <v>785</v>
      </c>
      <c r="B35" s="16">
        <v>890</v>
      </c>
    </row>
    <row r="36" spans="1:2" ht="12.75">
      <c r="A36" s="16">
        <v>1020</v>
      </c>
      <c r="B36" s="16">
        <v>1096</v>
      </c>
    </row>
    <row r="37" spans="1:2" ht="12.75">
      <c r="A37" s="16">
        <v>1260</v>
      </c>
      <c r="B37" s="16">
        <v>1096</v>
      </c>
    </row>
    <row r="38" spans="1:2" ht="12.75">
      <c r="A38" s="16">
        <v>810</v>
      </c>
      <c r="B38" s="16">
        <v>675</v>
      </c>
    </row>
    <row r="39" spans="1:2" ht="12.75">
      <c r="A39" s="16">
        <v>605</v>
      </c>
      <c r="B39" s="16">
        <v>675</v>
      </c>
    </row>
    <row r="42" ht="12.75">
      <c r="B42" t="s">
        <v>26</v>
      </c>
    </row>
    <row r="43" ht="12.75">
      <c r="B43" t="s">
        <v>27</v>
      </c>
    </row>
    <row r="44" spans="1:2" ht="12.75">
      <c r="A44" t="s">
        <v>17</v>
      </c>
      <c r="B44">
        <f>B21*B26/100</f>
        <v>714.4830000000001</v>
      </c>
    </row>
    <row r="45" spans="1:2" ht="12.75">
      <c r="A45" t="s">
        <v>6</v>
      </c>
      <c r="B45">
        <f>B27*(B4+B5)/100</f>
        <v>129.72</v>
      </c>
    </row>
    <row r="46" spans="1:2" ht="12.75">
      <c r="A46" t="s">
        <v>9</v>
      </c>
      <c r="B46">
        <f>B28*(B8+B9)/100</f>
        <v>223.85</v>
      </c>
    </row>
    <row r="47" spans="1:2" ht="12.75">
      <c r="A47" t="s">
        <v>21</v>
      </c>
      <c r="B47">
        <f>B29*B13*B14/100</f>
        <v>95.28199999999998</v>
      </c>
    </row>
    <row r="48" spans="1:2" ht="12.75">
      <c r="A48" t="s">
        <v>22</v>
      </c>
      <c r="B48">
        <f>B30*B11/100</f>
        <v>36.15</v>
      </c>
    </row>
    <row r="50" ht="12.75">
      <c r="B50" t="s">
        <v>28</v>
      </c>
    </row>
    <row r="51" spans="2:3" ht="12.75">
      <c r="B51" t="s">
        <v>24</v>
      </c>
      <c r="C51" t="s">
        <v>25</v>
      </c>
    </row>
    <row r="52" spans="1:3" ht="12.75">
      <c r="A52" t="s">
        <v>29</v>
      </c>
      <c r="B52">
        <f>B53-B47</f>
        <v>1104.2030000000002</v>
      </c>
      <c r="C52">
        <f>C53-B13*B14</f>
        <v>966.9</v>
      </c>
    </row>
    <row r="53" spans="1:3" ht="12.75">
      <c r="A53" t="s">
        <v>30</v>
      </c>
      <c r="B53">
        <f>SUM(B44:B48)</f>
        <v>1199.4850000000001</v>
      </c>
      <c r="C53">
        <f>D1</f>
        <v>1045</v>
      </c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zoomScale="90" zoomScaleNormal="90" workbookViewId="0" topLeftCell="A1">
      <selection activeCell="C11" sqref="C11"/>
    </sheetView>
  </sheetViews>
  <sheetFormatPr defaultColWidth="9.140625" defaultRowHeight="12.75"/>
  <cols>
    <col min="8" max="8" width="14.28125" style="0" customWidth="1"/>
  </cols>
  <sheetData>
    <row r="1" ht="15.75">
      <c r="A1" s="21" t="str">
        <f>Balans!A1</f>
        <v>SE-IFF</v>
      </c>
    </row>
    <row r="2" ht="12.75">
      <c r="A2" t="str">
        <f>Balans!A2</f>
        <v>Cessna 172</v>
      </c>
    </row>
    <row r="3" spans="1:9" ht="12.75">
      <c r="A3" t="s">
        <v>31</v>
      </c>
      <c r="C3" s="2">
        <f>Balans!D1</f>
        <v>1045</v>
      </c>
      <c r="D3" t="s">
        <v>32</v>
      </c>
      <c r="E3" t="s">
        <v>33</v>
      </c>
      <c r="G3" s="4">
        <f>K53</f>
        <v>444.3773568594927</v>
      </c>
      <c r="H3" t="s">
        <v>34</v>
      </c>
      <c r="I3" s="20" t="str">
        <f>IF($C$8&lt;$E$57," ","OBS Lätta vid 130 km/h")</f>
        <v> </v>
      </c>
    </row>
    <row r="4" spans="1:8" ht="12.75">
      <c r="A4" t="s">
        <v>35</v>
      </c>
      <c r="C4" s="1">
        <v>20</v>
      </c>
      <c r="D4" t="s">
        <v>36</v>
      </c>
      <c r="E4" t="s">
        <v>33</v>
      </c>
      <c r="G4" s="4">
        <f>L53</f>
        <v>488.815092545442</v>
      </c>
      <c r="H4" t="s">
        <v>37</v>
      </c>
    </row>
    <row r="5" spans="1:5" ht="12.75">
      <c r="A5" t="s">
        <v>38</v>
      </c>
      <c r="C5" s="5">
        <v>315</v>
      </c>
      <c r="D5" t="s">
        <v>39</v>
      </c>
      <c r="E5" t="s">
        <v>40</v>
      </c>
    </row>
    <row r="6" spans="1:5" ht="12.75">
      <c r="A6" t="s">
        <v>41</v>
      </c>
      <c r="C6" s="1">
        <v>5</v>
      </c>
      <c r="D6" t="s">
        <v>42</v>
      </c>
      <c r="E6" t="s">
        <v>43</v>
      </c>
    </row>
    <row r="7" spans="1:5" ht="12.75">
      <c r="A7" t="s">
        <v>44</v>
      </c>
      <c r="C7" s="1">
        <v>0</v>
      </c>
      <c r="D7" t="s">
        <v>42</v>
      </c>
      <c r="E7" t="s">
        <v>45</v>
      </c>
    </row>
    <row r="8" spans="1:4" ht="12.75">
      <c r="A8" t="s">
        <v>46</v>
      </c>
      <c r="C8" s="1">
        <v>0</v>
      </c>
      <c r="D8" t="s">
        <v>42</v>
      </c>
    </row>
    <row r="9" spans="1:5" ht="12.75">
      <c r="A9" t="s">
        <v>47</v>
      </c>
      <c r="C9" s="1">
        <v>0</v>
      </c>
      <c r="D9" t="s">
        <v>48</v>
      </c>
      <c r="E9" t="s">
        <v>49</v>
      </c>
    </row>
    <row r="10" spans="1:5" ht="12.75">
      <c r="A10" t="s">
        <v>50</v>
      </c>
      <c r="C10" s="1">
        <v>0</v>
      </c>
      <c r="D10" t="s">
        <v>48</v>
      </c>
      <c r="E10" t="s">
        <v>51</v>
      </c>
    </row>
    <row r="11" spans="1:5" ht="12.75">
      <c r="A11" t="s">
        <v>52</v>
      </c>
      <c r="C11" s="1">
        <v>0</v>
      </c>
      <c r="D11" t="s">
        <v>48</v>
      </c>
      <c r="E11" t="s">
        <v>53</v>
      </c>
    </row>
    <row r="51" ht="12.75">
      <c r="H51" t="s">
        <v>71</v>
      </c>
    </row>
    <row r="52" spans="1:12" ht="12.75">
      <c r="A52" t="s">
        <v>25</v>
      </c>
      <c r="B52" t="s">
        <v>152</v>
      </c>
      <c r="C52" t="s">
        <v>59</v>
      </c>
      <c r="D52" t="s">
        <v>62</v>
      </c>
      <c r="E52" t="s">
        <v>160</v>
      </c>
      <c r="F52" t="s">
        <v>156</v>
      </c>
      <c r="G52" t="s">
        <v>157</v>
      </c>
      <c r="H52" t="s">
        <v>72</v>
      </c>
      <c r="I52" t="s">
        <v>25</v>
      </c>
      <c r="J52" t="s">
        <v>168</v>
      </c>
      <c r="K52" t="s">
        <v>73</v>
      </c>
      <c r="L52" t="s">
        <v>74</v>
      </c>
    </row>
    <row r="53" spans="1:12" ht="12.75">
      <c r="A53" s="12">
        <f>C3</f>
        <v>1045</v>
      </c>
      <c r="B53">
        <f>A53-$C$60</f>
        <v>183</v>
      </c>
      <c r="C53">
        <f>($B$63+$B$64*B53+$B$65*B53*B53)</f>
        <v>382.6647028155686</v>
      </c>
      <c r="D53">
        <f>$C$4+273</f>
        <v>293</v>
      </c>
      <c r="E53">
        <f>D53/$C$74</f>
        <v>1.0732600732600732</v>
      </c>
      <c r="F53">
        <f>E53*(1+$B$75*(1-E53)+$B$76*(1-E53)^2)</f>
        <v>1.1479032153613955</v>
      </c>
      <c r="G53">
        <f>EXP($B$88*$C$5/D53)</f>
        <v>1.0375848666315564</v>
      </c>
      <c r="H53">
        <f>C53*G53*F53</f>
        <v>455.77164806101814</v>
      </c>
      <c r="I53">
        <f>A53</f>
        <v>1045</v>
      </c>
      <c r="J53">
        <f>H53*(1-0.005*$C$6)*(1+0.03*$C$7)*(1+0.2*$C$9)*(1+0.1*$C$10)*(1+0.05*$C$11)</f>
        <v>444.3773568594927</v>
      </c>
      <c r="K53">
        <f>IF($C$8&lt;$E$57,J53,J53*1.4)</f>
        <v>444.3773568594927</v>
      </c>
      <c r="L53">
        <f>K53*1.1</f>
        <v>488.815092545442</v>
      </c>
    </row>
    <row r="56" ht="12.75">
      <c r="A56" t="s">
        <v>54</v>
      </c>
    </row>
    <row r="57" spans="1:6" ht="12.75">
      <c r="A57" t="s">
        <v>55</v>
      </c>
      <c r="E57" s="16">
        <v>12</v>
      </c>
      <c r="F57" t="s">
        <v>42</v>
      </c>
    </row>
    <row r="59" spans="1:4" ht="12.75">
      <c r="A59" t="s">
        <v>56</v>
      </c>
      <c r="D59" t="s">
        <v>158</v>
      </c>
    </row>
    <row r="60" spans="1:3" ht="12.75">
      <c r="A60" t="s">
        <v>151</v>
      </c>
      <c r="C60" s="16">
        <v>862</v>
      </c>
    </row>
    <row r="61" spans="1:2" ht="12.75">
      <c r="A61" t="s">
        <v>152</v>
      </c>
      <c r="B61">
        <v>145</v>
      </c>
    </row>
    <row r="62" spans="1:2" ht="12.75">
      <c r="A62" t="s">
        <v>59</v>
      </c>
      <c r="B62">
        <f>($B$63+$B$64*B61+$B$65*B61*B61)/273</f>
        <v>1.2888173543075752</v>
      </c>
    </row>
    <row r="63" spans="1:3" ht="12.75">
      <c r="A63" t="s">
        <v>63</v>
      </c>
      <c r="B63" s="16">
        <v>250</v>
      </c>
      <c r="C63" t="s">
        <v>174</v>
      </c>
    </row>
    <row r="64" spans="1:3" ht="12.75">
      <c r="A64" t="s">
        <v>64</v>
      </c>
      <c r="B64">
        <v>0.6163492295256644</v>
      </c>
      <c r="C64" t="s">
        <v>153</v>
      </c>
    </row>
    <row r="65" spans="1:3" ht="12.75">
      <c r="A65" t="s">
        <v>66</v>
      </c>
      <c r="B65" s="17">
        <v>0.0005934125776336121</v>
      </c>
      <c r="C65" t="s">
        <v>154</v>
      </c>
    </row>
    <row r="66" ht="12.75">
      <c r="D66" t="s">
        <v>163</v>
      </c>
    </row>
    <row r="67" spans="1:5" ht="12.75">
      <c r="A67" t="s">
        <v>25</v>
      </c>
      <c r="B67" t="s">
        <v>152</v>
      </c>
      <c r="C67" t="s">
        <v>71</v>
      </c>
      <c r="E67" t="s">
        <v>166</v>
      </c>
    </row>
    <row r="68" spans="1:5" ht="12.75">
      <c r="A68" s="16">
        <v>862</v>
      </c>
      <c r="B68">
        <f>A68-$C$60</f>
        <v>0</v>
      </c>
      <c r="C68">
        <f>($B$63+$B$64*B68+$B$65*B68*B68)</f>
        <v>250</v>
      </c>
      <c r="E68" s="16">
        <v>250</v>
      </c>
    </row>
    <row r="69" spans="1:5" ht="12.75">
      <c r="A69" s="16">
        <v>953</v>
      </c>
      <c r="B69">
        <f>A69-$C$60</f>
        <v>91</v>
      </c>
      <c r="C69">
        <f>($B$63+$B$64*B69+$B$65*B69*B69)</f>
        <v>311.0018294422194</v>
      </c>
      <c r="E69" s="16">
        <v>311</v>
      </c>
    </row>
    <row r="70" spans="1:5" ht="12.75">
      <c r="A70" s="16">
        <v>1043</v>
      </c>
      <c r="B70">
        <f>A70-$C$60</f>
        <v>181</v>
      </c>
      <c r="C70">
        <f>($B$63+$B$64*B70+$B$65*B70*B70)</f>
        <v>381</v>
      </c>
      <c r="E70" s="16">
        <v>381</v>
      </c>
    </row>
    <row r="73" spans="1:6" ht="12.75">
      <c r="A73" t="s">
        <v>60</v>
      </c>
      <c r="D73" t="s">
        <v>61</v>
      </c>
      <c r="E73">
        <f>C4+273</f>
        <v>293</v>
      </c>
      <c r="F73" t="s">
        <v>62</v>
      </c>
    </row>
    <row r="74" spans="1:4" ht="12.75">
      <c r="A74" t="s">
        <v>155</v>
      </c>
      <c r="C74" s="16">
        <v>273</v>
      </c>
      <c r="D74" t="s">
        <v>62</v>
      </c>
    </row>
    <row r="75" spans="1:12" ht="12.75">
      <c r="A75" t="s">
        <v>57</v>
      </c>
      <c r="B75">
        <v>-0.8491954074044236</v>
      </c>
      <c r="D75" t="s">
        <v>159</v>
      </c>
      <c r="I75" t="s">
        <v>65</v>
      </c>
      <c r="L75">
        <f>B62*(B90+$B$75*B90^2+$B$76*B90^3)</f>
        <v>0</v>
      </c>
    </row>
    <row r="76" spans="1:14" ht="12.75">
      <c r="A76" t="s">
        <v>58</v>
      </c>
      <c r="B76">
        <v>1.3668486904975607</v>
      </c>
      <c r="D76" t="s">
        <v>160</v>
      </c>
      <c r="E76">
        <f>E73/C74</f>
        <v>1.0732600732600732</v>
      </c>
      <c r="I76" t="s">
        <v>69</v>
      </c>
      <c r="M76">
        <f>INT(0.5+L75*(1-0.005*$C$6)*(1+0.03*$C$7)*(1+0.2*$C$9)*(1+0.1*$C$10)*(1+0.05*$C$11))</f>
        <v>0</v>
      </c>
      <c r="N76" t="s">
        <v>70</v>
      </c>
    </row>
    <row r="78" spans="1:10" ht="12.75">
      <c r="A78" t="s">
        <v>164</v>
      </c>
      <c r="B78" t="s">
        <v>25</v>
      </c>
      <c r="C78" t="s">
        <v>152</v>
      </c>
      <c r="D78" t="s">
        <v>59</v>
      </c>
      <c r="E78" t="s">
        <v>62</v>
      </c>
      <c r="F78" t="s">
        <v>160</v>
      </c>
      <c r="G78" t="s">
        <v>156</v>
      </c>
      <c r="H78" t="s">
        <v>165</v>
      </c>
      <c r="I78" t="s">
        <v>166</v>
      </c>
      <c r="J78" t="s">
        <v>167</v>
      </c>
    </row>
    <row r="79" spans="1:10" ht="12.75">
      <c r="A79" s="16">
        <v>0</v>
      </c>
      <c r="B79" s="12">
        <f>A68</f>
        <v>862</v>
      </c>
      <c r="C79">
        <f>B79-$C$60</f>
        <v>0</v>
      </c>
      <c r="D79">
        <f>($B$63+$B$64*C79+$B$65*C79*C79)</f>
        <v>250</v>
      </c>
      <c r="E79">
        <f>273+A79</f>
        <v>273</v>
      </c>
      <c r="F79">
        <f>E79/$C$74</f>
        <v>1</v>
      </c>
      <c r="G79">
        <f>F79*(1+$B$75*(1-F79)+$B$76*(1-F79)^2)</f>
        <v>1</v>
      </c>
      <c r="H79">
        <f>D79*G79</f>
        <v>250</v>
      </c>
      <c r="I79" s="16">
        <v>250</v>
      </c>
      <c r="J79">
        <f>I79-H79</f>
        <v>0</v>
      </c>
    </row>
    <row r="80" spans="1:10" ht="12.75">
      <c r="A80" s="16">
        <v>20</v>
      </c>
      <c r="B80" s="12">
        <f>A69</f>
        <v>953</v>
      </c>
      <c r="C80">
        <f>B80-$C$60</f>
        <v>91</v>
      </c>
      <c r="D80">
        <f>($B$63+$B$64*C80+$B$65*C80*C80)</f>
        <v>311.0018294422194</v>
      </c>
      <c r="E80">
        <f>273+A80</f>
        <v>293</v>
      </c>
      <c r="F80">
        <f>E80/$C$74</f>
        <v>1.0732600732600732</v>
      </c>
      <c r="G80">
        <f>F80*(1+$B$75*(1-F80)+$B$76*(1-F80)^2)</f>
        <v>1.1479032153613955</v>
      </c>
      <c r="H80">
        <f>D80*G80</f>
        <v>356.99999999999994</v>
      </c>
      <c r="I80" s="16">
        <v>357</v>
      </c>
      <c r="J80">
        <f>I80-H80</f>
        <v>0</v>
      </c>
    </row>
    <row r="81" spans="1:10" ht="12.75">
      <c r="A81" s="16">
        <v>40</v>
      </c>
      <c r="B81" s="12">
        <f>A70</f>
        <v>1043</v>
      </c>
      <c r="C81">
        <f>B81-$C$60</f>
        <v>181</v>
      </c>
      <c r="D81">
        <f>($B$63+$B$64*C81+$B$65*C81*C81)</f>
        <v>381</v>
      </c>
      <c r="E81">
        <f>273+A81</f>
        <v>313</v>
      </c>
      <c r="F81">
        <f>E81/$C$74</f>
        <v>1.1465201465201464</v>
      </c>
      <c r="G81">
        <f>F81*(1+$B$75*(1-F81)+$B$76*(1-F81)^2)</f>
        <v>1.3228182022856014</v>
      </c>
      <c r="H81">
        <f>D81*G81</f>
        <v>503.9937350708141</v>
      </c>
      <c r="I81" s="16">
        <v>504</v>
      </c>
      <c r="J81">
        <f>I81-H81</f>
        <v>0.006264929185874735</v>
      </c>
    </row>
    <row r="87" spans="1:4" ht="12.75">
      <c r="A87" t="s">
        <v>67</v>
      </c>
      <c r="D87" t="s">
        <v>162</v>
      </c>
    </row>
    <row r="88" spans="1:2" ht="12.75">
      <c r="A88" t="s">
        <v>68</v>
      </c>
      <c r="B88">
        <v>0.034318921585733034</v>
      </c>
    </row>
    <row r="89" ht="12.75">
      <c r="D89" t="s">
        <v>161</v>
      </c>
    </row>
    <row r="90" ht="12.75">
      <c r="B90" s="2"/>
    </row>
    <row r="91" spans="1:12" ht="12.75">
      <c r="A91" t="s">
        <v>129</v>
      </c>
      <c r="B91" t="s">
        <v>35</v>
      </c>
      <c r="C91" t="s">
        <v>25</v>
      </c>
      <c r="D91" t="s">
        <v>152</v>
      </c>
      <c r="E91" t="s">
        <v>59</v>
      </c>
      <c r="F91" t="s">
        <v>62</v>
      </c>
      <c r="G91" t="s">
        <v>160</v>
      </c>
      <c r="H91" t="s">
        <v>156</v>
      </c>
      <c r="I91" t="s">
        <v>157</v>
      </c>
      <c r="J91" t="s">
        <v>165</v>
      </c>
      <c r="K91" t="s">
        <v>166</v>
      </c>
      <c r="L91" t="s">
        <v>167</v>
      </c>
    </row>
    <row r="92" spans="1:12" ht="12.75">
      <c r="A92" s="16">
        <v>0</v>
      </c>
      <c r="B92">
        <f>A79</f>
        <v>0</v>
      </c>
      <c r="C92">
        <f>B79</f>
        <v>862</v>
      </c>
      <c r="D92">
        <f>C92-$C$60</f>
        <v>0</v>
      </c>
      <c r="E92">
        <f>($B$63+$B$64*D92+$B$65*D92*D92)</f>
        <v>250</v>
      </c>
      <c r="F92">
        <f>273+B92</f>
        <v>273</v>
      </c>
      <c r="G92">
        <f>F92/$C$74</f>
        <v>1</v>
      </c>
      <c r="H92">
        <f>G92*(1+$B$75*(1-G92)+$B$76*(1-G92)^2)</f>
        <v>1</v>
      </c>
      <c r="I92">
        <f>EXP($B$88*A92/F92)</f>
        <v>1</v>
      </c>
      <c r="J92">
        <f>E92*H92*I92</f>
        <v>250</v>
      </c>
      <c r="K92" s="16">
        <v>250</v>
      </c>
      <c r="L92">
        <f>K92-J92</f>
        <v>0</v>
      </c>
    </row>
    <row r="93" spans="1:12" ht="12.75">
      <c r="A93" s="16">
        <v>5000</v>
      </c>
      <c r="B93">
        <f>A81</f>
        <v>40</v>
      </c>
      <c r="C93">
        <f>B81</f>
        <v>1043</v>
      </c>
      <c r="D93">
        <f>C93-$C$60</f>
        <v>181</v>
      </c>
      <c r="E93">
        <f>($B$63+$B$64*D93+$B$65*D93*D93)</f>
        <v>381</v>
      </c>
      <c r="F93">
        <f>273+B93</f>
        <v>313</v>
      </c>
      <c r="G93">
        <f>F93/$C$74</f>
        <v>1.1465201465201464</v>
      </c>
      <c r="H93">
        <f>G93*(1+$B$75*(1-G93)+$B$76*(1-G93)^2)</f>
        <v>1.3228182022856014</v>
      </c>
      <c r="I93">
        <f>EXP($B$88*A93/F93)</f>
        <v>1.7301802337414558</v>
      </c>
      <c r="J93">
        <f>E93*H93*I93</f>
        <v>871.9999983490505</v>
      </c>
      <c r="K93" s="16">
        <v>872</v>
      </c>
      <c r="L93">
        <f>K93-J93</f>
        <v>1.6509494571437244E-06</v>
      </c>
    </row>
    <row r="100" ht="12.75">
      <c r="H100" t="s">
        <v>71</v>
      </c>
    </row>
    <row r="101" spans="1:8" ht="12.75">
      <c r="A101" t="s">
        <v>25</v>
      </c>
      <c r="B101" t="s">
        <v>152</v>
      </c>
      <c r="C101" t="s">
        <v>59</v>
      </c>
      <c r="D101" t="s">
        <v>62</v>
      </c>
      <c r="E101" t="s">
        <v>160</v>
      </c>
      <c r="F101" t="s">
        <v>156</v>
      </c>
      <c r="G101" t="s">
        <v>157</v>
      </c>
      <c r="H101" t="s">
        <v>72</v>
      </c>
    </row>
    <row r="102" spans="1:8" ht="12.75">
      <c r="A102" s="16">
        <v>800</v>
      </c>
      <c r="B102">
        <f>A102-$C$60</f>
        <v>-62</v>
      </c>
      <c r="C102">
        <f>($B$63+$B$64*B102+$B$65*B102*B102)</f>
        <v>214.0674257178324</v>
      </c>
      <c r="D102">
        <f aca="true" t="shared" si="0" ref="D102:D109">$C$4+273</f>
        <v>293</v>
      </c>
      <c r="E102">
        <f aca="true" t="shared" si="1" ref="E102:E109">D102/$C$74</f>
        <v>1.0732600732600732</v>
      </c>
      <c r="F102">
        <f aca="true" t="shared" si="2" ref="F102:F109">E102*(1+$B$75*(1-E102)+$B$76*(1-E102)^2)</f>
        <v>1.1479032153613955</v>
      </c>
      <c r="G102">
        <f aca="true" t="shared" si="3" ref="G102:G109">EXP($B$88*$C$5/D102)</f>
        <v>1.0375848666315564</v>
      </c>
      <c r="H102">
        <f aca="true" t="shared" si="4" ref="H102:H109">C102*G102*F102</f>
        <v>254.96436618722973</v>
      </c>
    </row>
    <row r="103" spans="1:8" ht="12.75">
      <c r="A103" s="16">
        <v>850</v>
      </c>
      <c r="B103">
        <f aca="true" t="shared" si="5" ref="B103:B109">A103-$C$60</f>
        <v>-12</v>
      </c>
      <c r="C103">
        <f aca="true" t="shared" si="6" ref="C103:C109">($B$63+$B$64*B103+$B$65*B103*B103)</f>
        <v>242.68926065687126</v>
      </c>
      <c r="D103">
        <f t="shared" si="0"/>
        <v>293</v>
      </c>
      <c r="E103">
        <f t="shared" si="1"/>
        <v>1.0732600732600732</v>
      </c>
      <c r="F103">
        <f t="shared" si="2"/>
        <v>1.1479032153613955</v>
      </c>
      <c r="G103">
        <f t="shared" si="3"/>
        <v>1.0375848666315564</v>
      </c>
      <c r="H103">
        <f t="shared" si="4"/>
        <v>289.0543169580052</v>
      </c>
    </row>
    <row r="104" spans="1:8" ht="12.75">
      <c r="A104" s="16">
        <v>900</v>
      </c>
      <c r="B104">
        <f t="shared" si="5"/>
        <v>38</v>
      </c>
      <c r="C104">
        <f t="shared" si="6"/>
        <v>274.2781584840782</v>
      </c>
      <c r="D104">
        <f t="shared" si="0"/>
        <v>293</v>
      </c>
      <c r="E104">
        <f t="shared" si="1"/>
        <v>1.0732600732600732</v>
      </c>
      <c r="F104">
        <f t="shared" si="2"/>
        <v>1.1479032153613955</v>
      </c>
      <c r="G104">
        <f t="shared" si="3"/>
        <v>1.0375848666315564</v>
      </c>
      <c r="H104">
        <f t="shared" si="4"/>
        <v>326.6781790942426</v>
      </c>
    </row>
    <row r="105" spans="1:8" ht="12.75">
      <c r="A105" s="16">
        <v>950</v>
      </c>
      <c r="B105">
        <f t="shared" si="5"/>
        <v>88</v>
      </c>
      <c r="C105">
        <f t="shared" si="6"/>
        <v>308.83411919945314</v>
      </c>
      <c r="D105">
        <f t="shared" si="0"/>
        <v>293</v>
      </c>
      <c r="E105">
        <f t="shared" si="1"/>
        <v>1.0732600732600732</v>
      </c>
      <c r="F105">
        <f t="shared" si="2"/>
        <v>1.1479032153613955</v>
      </c>
      <c r="G105">
        <f t="shared" si="3"/>
        <v>1.0375848666315564</v>
      </c>
      <c r="H105">
        <f t="shared" si="4"/>
        <v>367.83595259594193</v>
      </c>
    </row>
    <row r="106" spans="1:8" ht="12.75">
      <c r="A106" s="16">
        <v>975</v>
      </c>
      <c r="B106">
        <f t="shared" si="5"/>
        <v>113</v>
      </c>
      <c r="C106">
        <f t="shared" si="6"/>
        <v>327.22474814020364</v>
      </c>
      <c r="D106">
        <f t="shared" si="0"/>
        <v>293</v>
      </c>
      <c r="E106">
        <f t="shared" si="1"/>
        <v>1.0732600732600732</v>
      </c>
      <c r="F106">
        <f t="shared" si="2"/>
        <v>1.1479032153613955</v>
      </c>
      <c r="G106">
        <f t="shared" si="3"/>
        <v>1.0375848666315564</v>
      </c>
      <c r="H106">
        <f t="shared" si="4"/>
        <v>389.74005610883984</v>
      </c>
    </row>
    <row r="107" spans="1:8" ht="12.75">
      <c r="A107" s="16">
        <v>1000</v>
      </c>
      <c r="B107">
        <f t="shared" si="5"/>
        <v>138</v>
      </c>
      <c r="C107">
        <f t="shared" si="6"/>
        <v>346.35714280299624</v>
      </c>
      <c r="D107">
        <f t="shared" si="0"/>
        <v>293</v>
      </c>
      <c r="E107">
        <f t="shared" si="1"/>
        <v>1.0732600732600732</v>
      </c>
      <c r="F107">
        <f t="shared" si="2"/>
        <v>1.1479032153613955</v>
      </c>
      <c r="G107">
        <f t="shared" si="3"/>
        <v>1.0375848666315564</v>
      </c>
      <c r="H107">
        <f t="shared" si="4"/>
        <v>412.5276374631032</v>
      </c>
    </row>
    <row r="108" spans="1:8" ht="12.75">
      <c r="A108" s="16">
        <v>1025</v>
      </c>
      <c r="B108">
        <f t="shared" si="5"/>
        <v>163</v>
      </c>
      <c r="C108">
        <f t="shared" si="6"/>
        <v>366.23130318783075</v>
      </c>
      <c r="D108">
        <f t="shared" si="0"/>
        <v>293</v>
      </c>
      <c r="E108">
        <f t="shared" si="1"/>
        <v>1.0732600732600732</v>
      </c>
      <c r="F108">
        <f t="shared" si="2"/>
        <v>1.1479032153613955</v>
      </c>
      <c r="G108">
        <f t="shared" si="3"/>
        <v>1.0375848666315564</v>
      </c>
      <c r="H108">
        <f t="shared" si="4"/>
        <v>436.198696658732</v>
      </c>
    </row>
    <row r="109" spans="1:8" ht="12.75">
      <c r="A109" s="16">
        <v>1043</v>
      </c>
      <c r="B109">
        <f t="shared" si="5"/>
        <v>181</v>
      </c>
      <c r="C109">
        <f t="shared" si="6"/>
        <v>381</v>
      </c>
      <c r="D109">
        <f t="shared" si="0"/>
        <v>293</v>
      </c>
      <c r="E109">
        <f t="shared" si="1"/>
        <v>1.0732600732600732</v>
      </c>
      <c r="F109">
        <f t="shared" si="2"/>
        <v>1.1479032153613955</v>
      </c>
      <c r="G109">
        <f t="shared" si="3"/>
        <v>1.0375848666315564</v>
      </c>
      <c r="H109">
        <f t="shared" si="4"/>
        <v>453.78890875895826</v>
      </c>
    </row>
    <row r="112" spans="1:4" ht="12.75">
      <c r="A112" t="s">
        <v>25</v>
      </c>
      <c r="B112" t="s">
        <v>168</v>
      </c>
      <c r="C112" t="s">
        <v>73</v>
      </c>
      <c r="D112" t="s">
        <v>74</v>
      </c>
    </row>
    <row r="113" spans="1:4" ht="12.75">
      <c r="A113">
        <f aca="true" t="shared" si="7" ref="A113:A120">A102</f>
        <v>800</v>
      </c>
      <c r="B113">
        <f aca="true" t="shared" si="8" ref="B113:B120">H102*(1-0.005*$C$6)*(1+0.03*$C$7)*(1+0.2*$C$9)*(1+0.1*$C$10)*(1+0.05*$C$11)</f>
        <v>248.59025703254898</v>
      </c>
      <c r="C113">
        <f aca="true" t="shared" si="9" ref="C113:C120">IF($C$8&lt;$E$57,B113,B113*1.4)</f>
        <v>248.59025703254898</v>
      </c>
      <c r="D113">
        <f>C113*1.1</f>
        <v>273.4492827358039</v>
      </c>
    </row>
    <row r="114" spans="1:4" ht="12.75">
      <c r="A114">
        <f t="shared" si="7"/>
        <v>850</v>
      </c>
      <c r="B114">
        <f t="shared" si="8"/>
        <v>281.827959034055</v>
      </c>
      <c r="C114">
        <f t="shared" si="9"/>
        <v>281.827959034055</v>
      </c>
      <c r="D114">
        <f aca="true" t="shared" si="10" ref="D114:D120">C114*1.1</f>
        <v>310.01075493746055</v>
      </c>
    </row>
    <row r="115" spans="1:4" ht="12.75">
      <c r="A115">
        <f t="shared" si="7"/>
        <v>900</v>
      </c>
      <c r="B115">
        <f t="shared" si="8"/>
        <v>318.5112246168865</v>
      </c>
      <c r="C115">
        <f t="shared" si="9"/>
        <v>318.5112246168865</v>
      </c>
      <c r="D115">
        <f t="shared" si="10"/>
        <v>350.3623470785752</v>
      </c>
    </row>
    <row r="116" spans="1:4" ht="12.75">
      <c r="A116">
        <f t="shared" si="7"/>
        <v>950</v>
      </c>
      <c r="B116">
        <f t="shared" si="8"/>
        <v>358.6400537810434</v>
      </c>
      <c r="C116">
        <f t="shared" si="9"/>
        <v>358.6400537810434</v>
      </c>
      <c r="D116">
        <f t="shared" si="10"/>
        <v>394.50405915914774</v>
      </c>
    </row>
    <row r="117" spans="1:4" ht="12.75">
      <c r="A117">
        <f t="shared" si="7"/>
        <v>975</v>
      </c>
      <c r="B117">
        <f t="shared" si="8"/>
        <v>379.99655470611884</v>
      </c>
      <c r="C117">
        <f t="shared" si="9"/>
        <v>379.99655470611884</v>
      </c>
      <c r="D117">
        <f t="shared" si="10"/>
        <v>417.99621017673076</v>
      </c>
    </row>
    <row r="118" spans="1:4" ht="12.75">
      <c r="A118">
        <f t="shared" si="7"/>
        <v>1000</v>
      </c>
      <c r="B118">
        <f t="shared" si="8"/>
        <v>402.2144465265256</v>
      </c>
      <c r="C118">
        <f t="shared" si="9"/>
        <v>402.2144465265256</v>
      </c>
      <c r="D118">
        <f t="shared" si="10"/>
        <v>442.4358911791782</v>
      </c>
    </row>
    <row r="119" spans="1:4" ht="12.75">
      <c r="A119">
        <f t="shared" si="7"/>
        <v>1025</v>
      </c>
      <c r="B119">
        <f t="shared" si="8"/>
        <v>425.2937292422637</v>
      </c>
      <c r="C119">
        <f t="shared" si="9"/>
        <v>425.2937292422637</v>
      </c>
      <c r="D119">
        <f t="shared" si="10"/>
        <v>467.82310216649006</v>
      </c>
    </row>
    <row r="120" spans="1:4" ht="12.75">
      <c r="A120">
        <f t="shared" si="7"/>
        <v>1043</v>
      </c>
      <c r="B120">
        <f t="shared" si="8"/>
        <v>442.4441860399843</v>
      </c>
      <c r="C120">
        <f t="shared" si="9"/>
        <v>442.4441860399843</v>
      </c>
      <c r="D120">
        <f t="shared" si="10"/>
        <v>486.6886046439827</v>
      </c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2"/>
  <sheetViews>
    <sheetView zoomScale="90" zoomScaleNormal="90" workbookViewId="0" topLeftCell="A1">
      <selection activeCell="H69" sqref="H69"/>
    </sheetView>
  </sheetViews>
  <sheetFormatPr defaultColWidth="9.140625" defaultRowHeight="12.75"/>
  <cols>
    <col min="1" max="1" width="7.421875" style="0" customWidth="1"/>
    <col min="2" max="2" width="6.7109375" style="0" customWidth="1"/>
    <col min="3" max="3" width="7.7109375" style="0" customWidth="1"/>
    <col min="4" max="4" width="7.421875" style="0" customWidth="1"/>
    <col min="5" max="5" width="6.28125" style="0" customWidth="1"/>
    <col min="7" max="7" width="6.421875" style="0" customWidth="1"/>
    <col min="8" max="8" width="7.7109375" style="0" customWidth="1"/>
    <col min="9" max="9" width="6.421875" style="0" customWidth="1"/>
    <col min="10" max="11" width="4.7109375" style="0" customWidth="1"/>
    <col min="12" max="12" width="6.28125" style="0" customWidth="1"/>
  </cols>
  <sheetData>
    <row r="1" spans="1:20" ht="15.75">
      <c r="A1" s="10" t="str">
        <f>Balans!A1</f>
        <v>SE-IFF</v>
      </c>
      <c r="G1" t="s">
        <v>75</v>
      </c>
      <c r="R1" t="s">
        <v>76</v>
      </c>
      <c r="S1" t="s">
        <v>77</v>
      </c>
      <c r="T1" t="s">
        <v>78</v>
      </c>
    </row>
    <row r="2" spans="1:20" ht="12.75">
      <c r="A2" t="str">
        <f>Balans!A2</f>
        <v>Cessna 172</v>
      </c>
      <c r="G2" t="s">
        <v>30</v>
      </c>
      <c r="H2" s="1">
        <v>4</v>
      </c>
      <c r="I2" t="s">
        <v>79</v>
      </c>
      <c r="M2" t="s">
        <v>97</v>
      </c>
      <c r="O2" s="16">
        <v>1045</v>
      </c>
      <c r="P2" t="s">
        <v>32</v>
      </c>
      <c r="Q2">
        <v>0</v>
      </c>
      <c r="R2" s="12">
        <f>J10</f>
        <v>270</v>
      </c>
      <c r="S2" s="12">
        <f>K10</f>
        <v>0</v>
      </c>
      <c r="T2">
        <f>IF(R2&lt;180,R2+180,R2-180)</f>
        <v>90</v>
      </c>
    </row>
    <row r="3" spans="2:20" ht="12.75">
      <c r="B3" t="s">
        <v>80</v>
      </c>
      <c r="D3" t="s">
        <v>81</v>
      </c>
      <c r="E3" t="s">
        <v>82</v>
      </c>
      <c r="G3" t="s">
        <v>86</v>
      </c>
      <c r="H3" s="1">
        <v>6.5</v>
      </c>
      <c r="I3" t="s">
        <v>87</v>
      </c>
      <c r="M3" t="s">
        <v>100</v>
      </c>
      <c r="O3" s="16">
        <v>130</v>
      </c>
      <c r="P3" t="s">
        <v>101</v>
      </c>
      <c r="Q3">
        <f>Q2+1000</f>
        <v>1000</v>
      </c>
      <c r="R3" s="12">
        <f>(R2+R4)/2</f>
        <v>280</v>
      </c>
      <c r="S3" s="12">
        <f>(S2+S4)/2</f>
        <v>0</v>
      </c>
      <c r="T3">
        <f aca="true" t="shared" si="0" ref="T3:T14">IF(R3&lt;180,R3+180,R3-180)</f>
        <v>100</v>
      </c>
    </row>
    <row r="4" spans="1:20" ht="12.75">
      <c r="A4" s="1" t="s">
        <v>85</v>
      </c>
      <c r="B4" s="1"/>
      <c r="C4" s="5" t="s">
        <v>175</v>
      </c>
      <c r="D4" s="1">
        <f>271+45</f>
        <v>316</v>
      </c>
      <c r="E4" s="1">
        <v>62</v>
      </c>
      <c r="G4" t="s">
        <v>90</v>
      </c>
      <c r="H4" s="1">
        <v>200</v>
      </c>
      <c r="I4" t="s">
        <v>91</v>
      </c>
      <c r="M4" t="s">
        <v>105</v>
      </c>
      <c r="O4" s="16">
        <v>10</v>
      </c>
      <c r="Q4">
        <f aca="true" t="shared" si="1" ref="Q4:Q14">Q3+1000</f>
        <v>2000</v>
      </c>
      <c r="R4" s="12">
        <f>J11</f>
        <v>290</v>
      </c>
      <c r="S4" s="12">
        <f>K11</f>
        <v>0</v>
      </c>
      <c r="T4">
        <f t="shared" si="0"/>
        <v>110</v>
      </c>
    </row>
    <row r="5" spans="2:20" ht="12.75">
      <c r="B5" t="s">
        <v>88</v>
      </c>
      <c r="C5" s="1">
        <v>980315</v>
      </c>
      <c r="D5">
        <v>271</v>
      </c>
      <c r="E5">
        <f>IF(E4&lt;180,E4+180,E4-180)</f>
        <v>242</v>
      </c>
      <c r="F5" t="s">
        <v>89</v>
      </c>
      <c r="G5" t="s">
        <v>92</v>
      </c>
      <c r="H5" s="1">
        <v>0</v>
      </c>
      <c r="I5" t="s">
        <v>91</v>
      </c>
      <c r="M5" t="s">
        <v>109</v>
      </c>
      <c r="O5" s="6">
        <f>O3*1000/3600/O4</f>
        <v>3.6111111111111116</v>
      </c>
      <c r="P5" t="s">
        <v>110</v>
      </c>
      <c r="Q5">
        <f t="shared" si="1"/>
        <v>3000</v>
      </c>
      <c r="R5" s="12">
        <f>R4+(R7-R4)/3</f>
        <v>296.6666666666667</v>
      </c>
      <c r="S5" s="12">
        <f>S4+(S7-S4)/3</f>
        <v>0</v>
      </c>
      <c r="T5">
        <f t="shared" si="0"/>
        <v>116.66666666666669</v>
      </c>
    </row>
    <row r="6" spans="4:20" ht="12.75">
      <c r="D6">
        <v>316</v>
      </c>
      <c r="E6" t="s">
        <v>176</v>
      </c>
      <c r="G6" t="s">
        <v>96</v>
      </c>
      <c r="H6" s="1">
        <v>0</v>
      </c>
      <c r="I6" t="s">
        <v>91</v>
      </c>
      <c r="M6" t="s">
        <v>171</v>
      </c>
      <c r="O6" s="4">
        <f>O5*O2/75</f>
        <v>50.314814814814824</v>
      </c>
      <c r="P6" t="s">
        <v>95</v>
      </c>
      <c r="Q6">
        <f t="shared" si="1"/>
        <v>4000</v>
      </c>
      <c r="R6" s="12">
        <f>R4+2*(R7-R4)/3</f>
        <v>303.3333333333333</v>
      </c>
      <c r="S6" s="12">
        <f>S4+2*(S7-S4)/3</f>
        <v>0</v>
      </c>
      <c r="T6">
        <f t="shared" si="0"/>
        <v>123.33333333333331</v>
      </c>
    </row>
    <row r="7" spans="17:20" ht="12.75">
      <c r="Q7">
        <f t="shared" si="1"/>
        <v>5000</v>
      </c>
      <c r="R7" s="12">
        <f>J12</f>
        <v>310</v>
      </c>
      <c r="S7" s="12">
        <f>K12</f>
        <v>0</v>
      </c>
      <c r="T7">
        <f t="shared" si="0"/>
        <v>130</v>
      </c>
    </row>
    <row r="8" spans="1:20" ht="12.75">
      <c r="A8" t="s">
        <v>93</v>
      </c>
      <c r="B8">
        <v>55</v>
      </c>
      <c r="C8" t="s">
        <v>94</v>
      </c>
      <c r="D8">
        <f>B8*$O$8/100</f>
        <v>88</v>
      </c>
      <c r="E8" t="s">
        <v>95</v>
      </c>
      <c r="N8" t="s">
        <v>90</v>
      </c>
      <c r="O8" s="16">
        <v>160</v>
      </c>
      <c r="P8" t="s">
        <v>95</v>
      </c>
      <c r="Q8">
        <f t="shared" si="1"/>
        <v>6000</v>
      </c>
      <c r="R8" s="7">
        <f>R7+(R12-R7)*1/5</f>
        <v>312</v>
      </c>
      <c r="S8" s="7">
        <f>S7+(S12-S7)*1/5</f>
        <v>0</v>
      </c>
      <c r="T8">
        <f t="shared" si="0"/>
        <v>132</v>
      </c>
    </row>
    <row r="9" spans="1:20" ht="12.75">
      <c r="A9" t="s">
        <v>98</v>
      </c>
      <c r="C9" s="12">
        <f>D4</f>
        <v>316</v>
      </c>
      <c r="D9" t="s">
        <v>99</v>
      </c>
      <c r="I9" s="2" t="s">
        <v>102</v>
      </c>
      <c r="J9" t="s">
        <v>103</v>
      </c>
      <c r="K9" t="s">
        <v>104</v>
      </c>
      <c r="N9" s="2" t="s">
        <v>169</v>
      </c>
      <c r="O9" s="16">
        <v>73</v>
      </c>
      <c r="P9" t="s">
        <v>170</v>
      </c>
      <c r="Q9">
        <f t="shared" si="1"/>
        <v>7000</v>
      </c>
      <c r="R9" s="7">
        <f aca="true" t="shared" si="2" ref="R9:S11">R8+R8-R7</f>
        <v>314</v>
      </c>
      <c r="S9" s="7">
        <f t="shared" si="2"/>
        <v>0</v>
      </c>
      <c r="T9">
        <f t="shared" si="0"/>
        <v>134</v>
      </c>
    </row>
    <row r="10" spans="1:20" ht="12.75">
      <c r="A10" s="19" t="s">
        <v>106</v>
      </c>
      <c r="C10" s="4">
        <f>(D8-$O$6)*75/$O$2/0.3*60*0.5</f>
        <v>270.46783625730984</v>
      </c>
      <c r="D10" t="s">
        <v>107</v>
      </c>
      <c r="I10" s="2" t="s">
        <v>108</v>
      </c>
      <c r="J10" s="1">
        <v>270</v>
      </c>
      <c r="K10" s="1">
        <v>0</v>
      </c>
      <c r="Q10">
        <f t="shared" si="1"/>
        <v>8000</v>
      </c>
      <c r="R10" s="7">
        <f t="shared" si="2"/>
        <v>316</v>
      </c>
      <c r="S10" s="7">
        <f t="shared" si="2"/>
        <v>0</v>
      </c>
      <c r="T10">
        <f t="shared" si="0"/>
        <v>136</v>
      </c>
    </row>
    <row r="11" spans="1:20" ht="12.75">
      <c r="A11" t="s">
        <v>111</v>
      </c>
      <c r="C11">
        <v>300</v>
      </c>
      <c r="D11" t="s">
        <v>107</v>
      </c>
      <c r="I11">
        <v>2000</v>
      </c>
      <c r="J11" s="1">
        <v>290</v>
      </c>
      <c r="K11" s="1">
        <v>0</v>
      </c>
      <c r="Q11">
        <f t="shared" si="1"/>
        <v>9000</v>
      </c>
      <c r="R11" s="7">
        <f t="shared" si="2"/>
        <v>318</v>
      </c>
      <c r="S11" s="7">
        <f t="shared" si="2"/>
        <v>0</v>
      </c>
      <c r="T11">
        <f t="shared" si="0"/>
        <v>138</v>
      </c>
    </row>
    <row r="12" spans="1:20" ht="12.75">
      <c r="A12" t="s">
        <v>112</v>
      </c>
      <c r="C12" s="4">
        <f>$C$11/3/60*$O$2/75</f>
        <v>23.222222222222225</v>
      </c>
      <c r="D12" t="s">
        <v>95</v>
      </c>
      <c r="F12" t="s">
        <v>172</v>
      </c>
      <c r="G12" s="1">
        <v>27</v>
      </c>
      <c r="H12" t="s">
        <v>84</v>
      </c>
      <c r="I12">
        <v>5000</v>
      </c>
      <c r="J12" s="1">
        <v>310</v>
      </c>
      <c r="K12" s="1">
        <v>0</v>
      </c>
      <c r="Q12">
        <f t="shared" si="1"/>
        <v>10000</v>
      </c>
      <c r="R12" s="12">
        <f>J13</f>
        <v>320</v>
      </c>
      <c r="S12" s="12">
        <f>K13</f>
        <v>0</v>
      </c>
      <c r="T12">
        <f t="shared" si="0"/>
        <v>140</v>
      </c>
    </row>
    <row r="13" spans="1:20" ht="12.75">
      <c r="A13" t="s">
        <v>113</v>
      </c>
      <c r="D13">
        <f>SQRT((C12+D8)/D8)</f>
        <v>1.1242281302693369</v>
      </c>
      <c r="I13">
        <v>10000</v>
      </c>
      <c r="J13" s="1">
        <v>320</v>
      </c>
      <c r="K13" s="1">
        <v>0</v>
      </c>
      <c r="Q13">
        <f t="shared" si="1"/>
        <v>11000</v>
      </c>
      <c r="R13">
        <f>R12</f>
        <v>320</v>
      </c>
      <c r="S13">
        <f>S12</f>
        <v>0</v>
      </c>
      <c r="T13">
        <f t="shared" si="0"/>
        <v>140</v>
      </c>
    </row>
    <row r="14" spans="17:20" ht="12.75">
      <c r="Q14">
        <f t="shared" si="1"/>
        <v>12000</v>
      </c>
      <c r="R14">
        <f>R13</f>
        <v>320</v>
      </c>
      <c r="S14">
        <f>S13</f>
        <v>0</v>
      </c>
      <c r="T14">
        <f t="shared" si="0"/>
        <v>140</v>
      </c>
    </row>
    <row r="15" spans="1:12" ht="12.75">
      <c r="A15" s="2" t="s">
        <v>114</v>
      </c>
      <c r="B15" t="s">
        <v>115</v>
      </c>
      <c r="C15" t="s">
        <v>116</v>
      </c>
      <c r="D15" t="s">
        <v>117</v>
      </c>
      <c r="E15" t="s">
        <v>117</v>
      </c>
      <c r="F15" t="s">
        <v>118</v>
      </c>
      <c r="G15" t="s">
        <v>119</v>
      </c>
      <c r="H15" t="s">
        <v>120</v>
      </c>
      <c r="I15" t="s">
        <v>121</v>
      </c>
      <c r="L15" t="s">
        <v>122</v>
      </c>
    </row>
    <row r="16" spans="1:21" ht="12.75">
      <c r="A16" t="s">
        <v>123</v>
      </c>
      <c r="B16" t="s">
        <v>124</v>
      </c>
      <c r="C16" t="s">
        <v>124</v>
      </c>
      <c r="D16" t="s">
        <v>125</v>
      </c>
      <c r="E16" t="s">
        <v>99</v>
      </c>
      <c r="F16" t="s">
        <v>126</v>
      </c>
      <c r="G16" t="s">
        <v>99</v>
      </c>
      <c r="H16" t="s">
        <v>127</v>
      </c>
      <c r="I16" t="s">
        <v>128</v>
      </c>
      <c r="J16" s="2" t="s">
        <v>129</v>
      </c>
      <c r="K16" t="s">
        <v>70</v>
      </c>
      <c r="L16" t="s">
        <v>130</v>
      </c>
      <c r="O16" t="s">
        <v>131</v>
      </c>
      <c r="P16" t="s">
        <v>132</v>
      </c>
      <c r="Q16" t="s">
        <v>133</v>
      </c>
      <c r="R16" t="s">
        <v>134</v>
      </c>
      <c r="S16" t="s">
        <v>135</v>
      </c>
      <c r="T16" t="s">
        <v>136</v>
      </c>
      <c r="U16" t="s">
        <v>137</v>
      </c>
    </row>
    <row r="17" spans="1:22" ht="12.75">
      <c r="A17">
        <v>0</v>
      </c>
      <c r="B17" s="18">
        <v>100</v>
      </c>
      <c r="C17" s="13">
        <f aca="true" t="shared" si="3" ref="C17:C29">U17-B17</f>
        <v>0</v>
      </c>
      <c r="D17" s="14">
        <v>0</v>
      </c>
      <c r="E17" s="15"/>
      <c r="F17" s="15"/>
      <c r="G17" s="15"/>
      <c r="H17" s="15"/>
      <c r="I17" s="15"/>
      <c r="L17" s="11"/>
      <c r="O17">
        <f aca="true" t="shared" si="4" ref="O17:O29">T2-$E$4</f>
        <v>28</v>
      </c>
      <c r="P17">
        <f aca="true" t="shared" si="5" ref="P17:P29">S2*SIN(O17*3.14159/180)/B17</f>
        <v>0</v>
      </c>
      <c r="Q17">
        <f aca="true" t="shared" si="6" ref="Q17:Q29">ASIN(P17)</f>
        <v>0</v>
      </c>
      <c r="R17">
        <f aca="true" t="shared" si="7" ref="R17:R29">$E$4-Q17*180/3.14159</f>
        <v>62</v>
      </c>
      <c r="S17">
        <f aca="true" t="shared" si="8" ref="S17:S29">$B17*COS(Q17)</f>
        <v>100</v>
      </c>
      <c r="T17">
        <f aca="true" t="shared" si="9" ref="T17:T29">$S2*COS(O17*3.14159/180)</f>
        <v>0</v>
      </c>
      <c r="U17">
        <f aca="true" t="shared" si="10" ref="U17:U29">S17+T17</f>
        <v>100</v>
      </c>
      <c r="V17" t="s">
        <v>138</v>
      </c>
    </row>
    <row r="18" spans="1:22" ht="12.75">
      <c r="A18">
        <f aca="true" t="shared" si="11" ref="A18:A29">A17+1000</f>
        <v>1000</v>
      </c>
      <c r="B18" s="18">
        <v>101</v>
      </c>
      <c r="C18" s="13">
        <f t="shared" si="3"/>
        <v>0</v>
      </c>
      <c r="D18" s="14">
        <f aca="true" t="shared" si="12" ref="D18:D29">A18/$C$10</f>
        <v>3.6972972972972986</v>
      </c>
      <c r="E18" s="14">
        <f aca="true" t="shared" si="13" ref="E18:E29">D18/60*($O$9+(C18+$C$17)/2)</f>
        <v>4.49837837837838</v>
      </c>
      <c r="F18" s="14">
        <v>0</v>
      </c>
      <c r="G18" s="14">
        <f>F18/60*(130+C18)</f>
        <v>0</v>
      </c>
      <c r="H18" s="14">
        <f aca="true" t="shared" si="14" ref="H18:H29">$C$9-E18-G18</f>
        <v>311.5016216216216</v>
      </c>
      <c r="I18" s="15">
        <f aca="true" t="shared" si="15" ref="I18:I29">H18/(B18+C18)+D18/60+F18/60+IF(H18&lt;0,-H18/$B$18,0)</f>
        <v>3.1457960931228257</v>
      </c>
      <c r="J18">
        <f aca="true" t="shared" si="16" ref="J18:J29">INT(I18)</f>
        <v>3</v>
      </c>
      <c r="K18" s="8">
        <f aca="true" t="shared" si="17" ref="K18:K29">(I18-J18)*60</f>
        <v>8.747765587369543</v>
      </c>
      <c r="L18" s="11">
        <f aca="true" t="shared" si="18" ref="L18:L29">INT(I18*(SUM($H$4:$H$6)+$H$3*$G$12)+$H$2*$H$3)</f>
        <v>1207</v>
      </c>
      <c r="O18">
        <f t="shared" si="4"/>
        <v>38</v>
      </c>
      <c r="P18">
        <f t="shared" si="5"/>
        <v>0</v>
      </c>
      <c r="Q18">
        <f t="shared" si="6"/>
        <v>0</v>
      </c>
      <c r="R18">
        <f t="shared" si="7"/>
        <v>62</v>
      </c>
      <c r="S18">
        <f t="shared" si="8"/>
        <v>101</v>
      </c>
      <c r="T18">
        <f t="shared" si="9"/>
        <v>0</v>
      </c>
      <c r="U18">
        <f t="shared" si="10"/>
        <v>101</v>
      </c>
      <c r="V18" t="s">
        <v>139</v>
      </c>
    </row>
    <row r="19" spans="1:22" ht="12.75">
      <c r="A19">
        <f t="shared" si="11"/>
        <v>2000</v>
      </c>
      <c r="B19" s="18">
        <v>102</v>
      </c>
      <c r="C19" s="13">
        <f t="shared" si="3"/>
        <v>0</v>
      </c>
      <c r="D19" s="14">
        <f t="shared" si="12"/>
        <v>7.394594594594597</v>
      </c>
      <c r="E19" s="14">
        <f t="shared" si="13"/>
        <v>8.99675675675676</v>
      </c>
      <c r="F19" s="14">
        <f aca="true" t="shared" si="19" ref="F19:F29">(A19-1000)/$C$11</f>
        <v>3.3333333333333335</v>
      </c>
      <c r="G19" s="14">
        <f aca="true" t="shared" si="20" ref="G19:G29">F19/60*((B19+$B$18)*$D$13/2+(C19+$C$18)/2)</f>
        <v>6.339397512352094</v>
      </c>
      <c r="H19" s="14">
        <f t="shared" si="14"/>
        <v>300.6638457308911</v>
      </c>
      <c r="I19" s="15">
        <f t="shared" si="15"/>
        <v>3.1264835608663586</v>
      </c>
      <c r="J19">
        <f t="shared" si="16"/>
        <v>3</v>
      </c>
      <c r="K19" s="8">
        <f t="shared" si="17"/>
        <v>7.5890136519815155</v>
      </c>
      <c r="L19" s="11">
        <f t="shared" si="18"/>
        <v>1199</v>
      </c>
      <c r="O19">
        <f t="shared" si="4"/>
        <v>48</v>
      </c>
      <c r="P19">
        <f t="shared" si="5"/>
        <v>0</v>
      </c>
      <c r="Q19">
        <f t="shared" si="6"/>
        <v>0</v>
      </c>
      <c r="R19">
        <f t="shared" si="7"/>
        <v>62</v>
      </c>
      <c r="S19">
        <f t="shared" si="8"/>
        <v>102</v>
      </c>
      <c r="T19">
        <f t="shared" si="9"/>
        <v>0</v>
      </c>
      <c r="U19">
        <f t="shared" si="10"/>
        <v>102</v>
      </c>
      <c r="V19" t="s">
        <v>140</v>
      </c>
    </row>
    <row r="20" spans="1:21" ht="12.75">
      <c r="A20">
        <f t="shared" si="11"/>
        <v>3000</v>
      </c>
      <c r="B20" s="18">
        <v>103</v>
      </c>
      <c r="C20" s="13">
        <f t="shared" si="3"/>
        <v>0</v>
      </c>
      <c r="D20" s="14">
        <f t="shared" si="12"/>
        <v>11.091891891891896</v>
      </c>
      <c r="E20" s="14">
        <f t="shared" si="13"/>
        <v>13.49513513513514</v>
      </c>
      <c r="F20" s="14">
        <f t="shared" si="19"/>
        <v>6.666666666666667</v>
      </c>
      <c r="G20" s="14">
        <f t="shared" si="20"/>
        <v>12.741252143052485</v>
      </c>
      <c r="H20" s="14">
        <f t="shared" si="14"/>
        <v>289.7636127218124</v>
      </c>
      <c r="I20" s="15">
        <f t="shared" si="15"/>
        <v>3.1092149344401743</v>
      </c>
      <c r="J20">
        <f t="shared" si="16"/>
        <v>3</v>
      </c>
      <c r="K20" s="8">
        <f t="shared" si="17"/>
        <v>6.552896066410456</v>
      </c>
      <c r="L20" s="11">
        <f t="shared" si="18"/>
        <v>1193</v>
      </c>
      <c r="O20">
        <f t="shared" si="4"/>
        <v>54.666666666666686</v>
      </c>
      <c r="P20">
        <f t="shared" si="5"/>
        <v>0</v>
      </c>
      <c r="Q20">
        <f t="shared" si="6"/>
        <v>0</v>
      </c>
      <c r="R20">
        <f t="shared" si="7"/>
        <v>62</v>
      </c>
      <c r="S20">
        <f t="shared" si="8"/>
        <v>103</v>
      </c>
      <c r="T20">
        <f t="shared" si="9"/>
        <v>0</v>
      </c>
      <c r="U20">
        <f t="shared" si="10"/>
        <v>103</v>
      </c>
    </row>
    <row r="21" spans="1:21" ht="12.75">
      <c r="A21">
        <f t="shared" si="11"/>
        <v>4000</v>
      </c>
      <c r="B21" s="18">
        <v>104</v>
      </c>
      <c r="C21" s="13">
        <f t="shared" si="3"/>
        <v>0</v>
      </c>
      <c r="D21" s="14">
        <f t="shared" si="12"/>
        <v>14.789189189189194</v>
      </c>
      <c r="E21" s="14">
        <f t="shared" si="13"/>
        <v>17.99351351351352</v>
      </c>
      <c r="F21" s="14">
        <f t="shared" si="19"/>
        <v>10</v>
      </c>
      <c r="G21" s="14">
        <f t="shared" si="20"/>
        <v>19.20556389210117</v>
      </c>
      <c r="H21" s="14">
        <f t="shared" si="14"/>
        <v>278.8009225943853</v>
      </c>
      <c r="I21" s="15">
        <f t="shared" si="15"/>
        <v>3.093931255022243</v>
      </c>
      <c r="J21">
        <f t="shared" si="16"/>
        <v>3</v>
      </c>
      <c r="K21" s="8">
        <f t="shared" si="17"/>
        <v>5.635875301334572</v>
      </c>
      <c r="L21" s="11">
        <f t="shared" si="18"/>
        <v>1187</v>
      </c>
      <c r="O21">
        <f t="shared" si="4"/>
        <v>61.333333333333314</v>
      </c>
      <c r="P21">
        <f t="shared" si="5"/>
        <v>0</v>
      </c>
      <c r="Q21">
        <f t="shared" si="6"/>
        <v>0</v>
      </c>
      <c r="R21">
        <f t="shared" si="7"/>
        <v>62</v>
      </c>
      <c r="S21">
        <f t="shared" si="8"/>
        <v>104</v>
      </c>
      <c r="T21">
        <f t="shared" si="9"/>
        <v>0</v>
      </c>
      <c r="U21">
        <f t="shared" si="10"/>
        <v>104</v>
      </c>
    </row>
    <row r="22" spans="1:21" ht="12.75">
      <c r="A22">
        <f t="shared" si="11"/>
        <v>5000</v>
      </c>
      <c r="B22" s="18">
        <v>104.5</v>
      </c>
      <c r="C22" s="13">
        <f t="shared" si="3"/>
        <v>0</v>
      </c>
      <c r="D22" s="14">
        <f t="shared" si="12"/>
        <v>18.486486486486495</v>
      </c>
      <c r="E22" s="14">
        <f t="shared" si="13"/>
        <v>22.4918918918919</v>
      </c>
      <c r="F22" s="14">
        <f t="shared" si="19"/>
        <v>13.333333333333334</v>
      </c>
      <c r="G22" s="14">
        <f t="shared" si="20"/>
        <v>25.66987564114986</v>
      </c>
      <c r="H22" s="14">
        <f t="shared" si="14"/>
        <v>267.83823246695823</v>
      </c>
      <c r="I22" s="15">
        <f t="shared" si="15"/>
        <v>3.093375617095481</v>
      </c>
      <c r="J22">
        <f t="shared" si="16"/>
        <v>3</v>
      </c>
      <c r="K22" s="8">
        <f t="shared" si="17"/>
        <v>5.602537025728855</v>
      </c>
      <c r="L22" s="11">
        <f t="shared" si="18"/>
        <v>1187</v>
      </c>
      <c r="O22">
        <f t="shared" si="4"/>
        <v>68</v>
      </c>
      <c r="P22">
        <f t="shared" si="5"/>
        <v>0</v>
      </c>
      <c r="Q22">
        <f t="shared" si="6"/>
        <v>0</v>
      </c>
      <c r="R22">
        <f t="shared" si="7"/>
        <v>62</v>
      </c>
      <c r="S22">
        <f t="shared" si="8"/>
        <v>104.5</v>
      </c>
      <c r="T22">
        <f t="shared" si="9"/>
        <v>0</v>
      </c>
      <c r="U22">
        <f t="shared" si="10"/>
        <v>104.5</v>
      </c>
    </row>
    <row r="23" spans="1:21" ht="12.75">
      <c r="A23">
        <f t="shared" si="11"/>
        <v>6000</v>
      </c>
      <c r="B23" s="18">
        <v>105</v>
      </c>
      <c r="C23" s="13">
        <f t="shared" si="3"/>
        <v>0</v>
      </c>
      <c r="D23" s="14">
        <f t="shared" si="12"/>
        <v>22.18378378378379</v>
      </c>
      <c r="E23" s="14">
        <f t="shared" si="13"/>
        <v>26.99027027027028</v>
      </c>
      <c r="F23" s="14">
        <f t="shared" si="19"/>
        <v>16.666666666666668</v>
      </c>
      <c r="G23" s="14">
        <f t="shared" si="20"/>
        <v>32.165415949372694</v>
      </c>
      <c r="H23" s="14">
        <f t="shared" si="14"/>
        <v>256.844313780357</v>
      </c>
      <c r="I23" s="15">
        <f t="shared" si="15"/>
        <v>3.0936438292251935</v>
      </c>
      <c r="J23">
        <f t="shared" si="16"/>
        <v>3</v>
      </c>
      <c r="K23" s="8">
        <f t="shared" si="17"/>
        <v>5.6186297535116125</v>
      </c>
      <c r="L23" s="11">
        <f t="shared" si="18"/>
        <v>1187</v>
      </c>
      <c r="O23">
        <f t="shared" si="4"/>
        <v>70</v>
      </c>
      <c r="P23">
        <f t="shared" si="5"/>
        <v>0</v>
      </c>
      <c r="Q23">
        <f t="shared" si="6"/>
        <v>0</v>
      </c>
      <c r="R23">
        <f t="shared" si="7"/>
        <v>62</v>
      </c>
      <c r="S23">
        <f t="shared" si="8"/>
        <v>105</v>
      </c>
      <c r="T23">
        <f t="shared" si="9"/>
        <v>0</v>
      </c>
      <c r="U23">
        <f t="shared" si="10"/>
        <v>105</v>
      </c>
    </row>
    <row r="24" spans="1:21" ht="12.75">
      <c r="A24">
        <f t="shared" si="11"/>
        <v>7000</v>
      </c>
      <c r="B24" s="18">
        <v>105.5</v>
      </c>
      <c r="C24" s="13">
        <f t="shared" si="3"/>
        <v>0</v>
      </c>
      <c r="D24" s="14">
        <f t="shared" si="12"/>
        <v>25.881081081081092</v>
      </c>
      <c r="E24" s="14">
        <f t="shared" si="13"/>
        <v>31.488648648648663</v>
      </c>
      <c r="F24" s="14">
        <f t="shared" si="19"/>
        <v>20</v>
      </c>
      <c r="G24" s="14">
        <f t="shared" si="20"/>
        <v>38.692184816769675</v>
      </c>
      <c r="H24" s="14">
        <f t="shared" si="14"/>
        <v>245.81916653458165</v>
      </c>
      <c r="I24" s="15">
        <f t="shared" si="15"/>
        <v>3.094724177903468</v>
      </c>
      <c r="J24">
        <f t="shared" si="16"/>
        <v>3</v>
      </c>
      <c r="K24" s="8">
        <f t="shared" si="17"/>
        <v>5.683450674208093</v>
      </c>
      <c r="L24" s="11">
        <f t="shared" si="18"/>
        <v>1188</v>
      </c>
      <c r="O24">
        <f t="shared" si="4"/>
        <v>72</v>
      </c>
      <c r="P24">
        <f t="shared" si="5"/>
        <v>0</v>
      </c>
      <c r="Q24">
        <f t="shared" si="6"/>
        <v>0</v>
      </c>
      <c r="R24">
        <f t="shared" si="7"/>
        <v>62</v>
      </c>
      <c r="S24">
        <f t="shared" si="8"/>
        <v>105.5</v>
      </c>
      <c r="T24">
        <f t="shared" si="9"/>
        <v>0</v>
      </c>
      <c r="U24">
        <f t="shared" si="10"/>
        <v>105.5</v>
      </c>
    </row>
    <row r="25" spans="1:21" ht="12.75">
      <c r="A25">
        <f t="shared" si="11"/>
        <v>8000</v>
      </c>
      <c r="B25" s="18">
        <v>106</v>
      </c>
      <c r="C25" s="13">
        <f t="shared" si="3"/>
        <v>0</v>
      </c>
      <c r="D25" s="14">
        <f t="shared" si="12"/>
        <v>29.57837837837839</v>
      </c>
      <c r="E25" s="14">
        <f t="shared" si="13"/>
        <v>35.98702702702704</v>
      </c>
      <c r="F25" s="14">
        <f t="shared" si="19"/>
        <v>23.333333333333332</v>
      </c>
      <c r="G25" s="14">
        <f t="shared" si="20"/>
        <v>45.25018224334081</v>
      </c>
      <c r="H25" s="14">
        <f t="shared" si="14"/>
        <v>234.76279072963217</v>
      </c>
      <c r="I25" s="15">
        <f t="shared" si="15"/>
        <v>3.096605170631977</v>
      </c>
      <c r="J25">
        <f t="shared" si="16"/>
        <v>3</v>
      </c>
      <c r="K25" s="8">
        <f t="shared" si="17"/>
        <v>5.796310237918609</v>
      </c>
      <c r="L25" s="11">
        <f t="shared" si="18"/>
        <v>1188</v>
      </c>
      <c r="O25">
        <f t="shared" si="4"/>
        <v>74</v>
      </c>
      <c r="P25">
        <f t="shared" si="5"/>
        <v>0</v>
      </c>
      <c r="Q25">
        <f t="shared" si="6"/>
        <v>0</v>
      </c>
      <c r="R25">
        <f t="shared" si="7"/>
        <v>62</v>
      </c>
      <c r="S25">
        <f t="shared" si="8"/>
        <v>106</v>
      </c>
      <c r="T25">
        <f t="shared" si="9"/>
        <v>0</v>
      </c>
      <c r="U25">
        <f t="shared" si="10"/>
        <v>106</v>
      </c>
    </row>
    <row r="26" spans="1:21" ht="12.75">
      <c r="A26">
        <f t="shared" si="11"/>
        <v>9000</v>
      </c>
      <c r="B26" s="18">
        <v>107</v>
      </c>
      <c r="C26" s="13">
        <f t="shared" si="3"/>
        <v>0</v>
      </c>
      <c r="D26" s="14">
        <f t="shared" si="12"/>
        <v>33.275675675675686</v>
      </c>
      <c r="E26" s="14">
        <f t="shared" si="13"/>
        <v>40.48540540540542</v>
      </c>
      <c r="F26" s="14">
        <f t="shared" si="19"/>
        <v>26.666666666666668</v>
      </c>
      <c r="G26" s="14">
        <f t="shared" si="20"/>
        <v>51.964322465782686</v>
      </c>
      <c r="H26" s="14">
        <f t="shared" si="14"/>
        <v>223.5502721288119</v>
      </c>
      <c r="I26" s="15">
        <f t="shared" si="15"/>
        <v>3.0882939187475618</v>
      </c>
      <c r="J26">
        <f t="shared" si="16"/>
        <v>3</v>
      </c>
      <c r="K26" s="8">
        <f t="shared" si="17"/>
        <v>5.297635124853706</v>
      </c>
      <c r="L26" s="11">
        <f t="shared" si="18"/>
        <v>1185</v>
      </c>
      <c r="O26">
        <f t="shared" si="4"/>
        <v>76</v>
      </c>
      <c r="P26">
        <f t="shared" si="5"/>
        <v>0</v>
      </c>
      <c r="Q26">
        <f t="shared" si="6"/>
        <v>0</v>
      </c>
      <c r="R26">
        <f t="shared" si="7"/>
        <v>62</v>
      </c>
      <c r="S26">
        <f t="shared" si="8"/>
        <v>107</v>
      </c>
      <c r="T26">
        <f t="shared" si="9"/>
        <v>0</v>
      </c>
      <c r="U26">
        <f t="shared" si="10"/>
        <v>107</v>
      </c>
    </row>
    <row r="27" spans="1:21" ht="12.75">
      <c r="A27">
        <f t="shared" si="11"/>
        <v>10000</v>
      </c>
      <c r="B27" s="18">
        <v>108</v>
      </c>
      <c r="C27" s="13">
        <f t="shared" si="3"/>
        <v>0</v>
      </c>
      <c r="D27" s="14">
        <f t="shared" si="12"/>
        <v>36.97297297297299</v>
      </c>
      <c r="E27" s="14">
        <f t="shared" si="13"/>
        <v>44.9837837837838</v>
      </c>
      <c r="F27" s="14">
        <f t="shared" si="19"/>
        <v>30</v>
      </c>
      <c r="G27" s="14">
        <f t="shared" si="20"/>
        <v>58.740919806572855</v>
      </c>
      <c r="H27" s="14">
        <f t="shared" si="14"/>
        <v>212.27529640964335</v>
      </c>
      <c r="I27" s="15">
        <f t="shared" si="15"/>
        <v>3.0817282200092104</v>
      </c>
      <c r="J27">
        <f t="shared" si="16"/>
        <v>3</v>
      </c>
      <c r="K27" s="8">
        <f t="shared" si="17"/>
        <v>4.903693200552626</v>
      </c>
      <c r="L27" s="11">
        <f t="shared" si="18"/>
        <v>1183</v>
      </c>
      <c r="O27">
        <f t="shared" si="4"/>
        <v>78</v>
      </c>
      <c r="P27">
        <f t="shared" si="5"/>
        <v>0</v>
      </c>
      <c r="Q27">
        <f t="shared" si="6"/>
        <v>0</v>
      </c>
      <c r="R27">
        <f t="shared" si="7"/>
        <v>62</v>
      </c>
      <c r="S27">
        <f t="shared" si="8"/>
        <v>108</v>
      </c>
      <c r="T27">
        <f t="shared" si="9"/>
        <v>0</v>
      </c>
      <c r="U27">
        <f t="shared" si="10"/>
        <v>108</v>
      </c>
    </row>
    <row r="28" spans="1:21" ht="12.75">
      <c r="A28">
        <f t="shared" si="11"/>
        <v>11000</v>
      </c>
      <c r="B28" s="18">
        <v>108.5</v>
      </c>
      <c r="C28" s="13">
        <f t="shared" si="3"/>
        <v>0</v>
      </c>
      <c r="D28" s="14">
        <f t="shared" si="12"/>
        <v>40.67027027027029</v>
      </c>
      <c r="E28" s="14">
        <f t="shared" si="13"/>
        <v>49.48216216216218</v>
      </c>
      <c r="F28" s="14">
        <f t="shared" si="19"/>
        <v>33.333333333333336</v>
      </c>
      <c r="G28" s="14">
        <f t="shared" si="20"/>
        <v>65.42383146984058</v>
      </c>
      <c r="H28" s="14">
        <f t="shared" si="14"/>
        <v>201.09400636799722</v>
      </c>
      <c r="I28" s="15">
        <f t="shared" si="15"/>
        <v>3.086794373743598</v>
      </c>
      <c r="J28">
        <f t="shared" si="16"/>
        <v>3</v>
      </c>
      <c r="K28" s="8">
        <f t="shared" si="17"/>
        <v>5.2076624246158865</v>
      </c>
      <c r="L28" s="11">
        <f t="shared" si="18"/>
        <v>1185</v>
      </c>
      <c r="O28">
        <f t="shared" si="4"/>
        <v>78</v>
      </c>
      <c r="P28">
        <f t="shared" si="5"/>
        <v>0</v>
      </c>
      <c r="Q28">
        <f t="shared" si="6"/>
        <v>0</v>
      </c>
      <c r="R28">
        <f t="shared" si="7"/>
        <v>62</v>
      </c>
      <c r="S28">
        <f t="shared" si="8"/>
        <v>108.5</v>
      </c>
      <c r="T28">
        <f t="shared" si="9"/>
        <v>0</v>
      </c>
      <c r="U28">
        <f t="shared" si="10"/>
        <v>108.5</v>
      </c>
    </row>
    <row r="29" spans="1:21" ht="12.75">
      <c r="A29">
        <f t="shared" si="11"/>
        <v>12000</v>
      </c>
      <c r="B29" s="18">
        <v>109</v>
      </c>
      <c r="C29" s="13">
        <f t="shared" si="3"/>
        <v>0</v>
      </c>
      <c r="D29" s="14">
        <f t="shared" si="12"/>
        <v>44.36756756756758</v>
      </c>
      <c r="E29" s="14">
        <f t="shared" si="13"/>
        <v>53.98054054054056</v>
      </c>
      <c r="F29" s="14">
        <f t="shared" si="19"/>
        <v>36.666666666666664</v>
      </c>
      <c r="G29" s="14">
        <f t="shared" si="20"/>
        <v>72.13797169228245</v>
      </c>
      <c r="H29" s="14">
        <f t="shared" si="14"/>
        <v>189.88148776717696</v>
      </c>
      <c r="I29" s="15">
        <f t="shared" si="15"/>
        <v>3.0926025684345797</v>
      </c>
      <c r="J29">
        <f t="shared" si="16"/>
        <v>3</v>
      </c>
      <c r="K29" s="8">
        <f t="shared" si="17"/>
        <v>5.556154106074782</v>
      </c>
      <c r="L29" s="11">
        <f t="shared" si="18"/>
        <v>1187</v>
      </c>
      <c r="O29">
        <f t="shared" si="4"/>
        <v>78</v>
      </c>
      <c r="P29">
        <f t="shared" si="5"/>
        <v>0</v>
      </c>
      <c r="Q29">
        <f t="shared" si="6"/>
        <v>0</v>
      </c>
      <c r="R29">
        <f t="shared" si="7"/>
        <v>62</v>
      </c>
      <c r="S29">
        <f t="shared" si="8"/>
        <v>109</v>
      </c>
      <c r="T29">
        <f t="shared" si="9"/>
        <v>0</v>
      </c>
      <c r="U29">
        <f t="shared" si="10"/>
        <v>109</v>
      </c>
    </row>
    <row r="32" spans="1:8" ht="12.75">
      <c r="A32" t="s">
        <v>93</v>
      </c>
      <c r="B32">
        <v>65</v>
      </c>
      <c r="C32" t="s">
        <v>94</v>
      </c>
      <c r="D32">
        <f>B32*$O$8/100</f>
        <v>104</v>
      </c>
      <c r="E32" t="s">
        <v>95</v>
      </c>
      <c r="H32" t="s">
        <v>75</v>
      </c>
    </row>
    <row r="33" spans="8:10" ht="12.75">
      <c r="H33" t="s">
        <v>83</v>
      </c>
      <c r="I33" s="1">
        <v>30</v>
      </c>
      <c r="J33" t="s">
        <v>84</v>
      </c>
    </row>
    <row r="34" spans="4:7" ht="12.75">
      <c r="D34" t="s">
        <v>106</v>
      </c>
      <c r="F34" s="4">
        <f>(D32-$O$6)*75/$O$2/0.3*60*0.5</f>
        <v>385.3003721424774</v>
      </c>
      <c r="G34" t="s">
        <v>107</v>
      </c>
    </row>
    <row r="35" spans="1:4" ht="12.75">
      <c r="A35" t="s">
        <v>112</v>
      </c>
      <c r="C35" s="4">
        <f>$C$11/3/60*$O$2/75</f>
        <v>23.222222222222225</v>
      </c>
      <c r="D35" t="s">
        <v>95</v>
      </c>
    </row>
    <row r="36" spans="1:4" ht="12.75">
      <c r="A36" t="s">
        <v>113</v>
      </c>
      <c r="D36">
        <f>SQRT((C35+D32)/D32)</f>
        <v>1.1060246824960998</v>
      </c>
    </row>
    <row r="38" spans="1:12" ht="12.75">
      <c r="A38" s="2" t="s">
        <v>114</v>
      </c>
      <c r="B38" t="s">
        <v>115</v>
      </c>
      <c r="C38" t="s">
        <v>116</v>
      </c>
      <c r="D38" t="s">
        <v>117</v>
      </c>
      <c r="E38" t="s">
        <v>117</v>
      </c>
      <c r="F38" t="s">
        <v>118</v>
      </c>
      <c r="G38" t="s">
        <v>119</v>
      </c>
      <c r="H38" t="s">
        <v>120</v>
      </c>
      <c r="I38" t="s">
        <v>121</v>
      </c>
      <c r="L38" t="s">
        <v>122</v>
      </c>
    </row>
    <row r="39" spans="1:21" ht="12.75">
      <c r="A39" t="s">
        <v>123</v>
      </c>
      <c r="B39" t="s">
        <v>124</v>
      </c>
      <c r="C39" t="s">
        <v>124</v>
      </c>
      <c r="D39" t="s">
        <v>125</v>
      </c>
      <c r="E39" t="s">
        <v>99</v>
      </c>
      <c r="F39" t="s">
        <v>126</v>
      </c>
      <c r="G39" t="s">
        <v>99</v>
      </c>
      <c r="H39" t="s">
        <v>127</v>
      </c>
      <c r="I39" t="s">
        <v>128</v>
      </c>
      <c r="J39" s="2" t="s">
        <v>129</v>
      </c>
      <c r="K39" t="s">
        <v>70</v>
      </c>
      <c r="L39" t="s">
        <v>130</v>
      </c>
      <c r="O39" t="s">
        <v>131</v>
      </c>
      <c r="P39" t="s">
        <v>132</v>
      </c>
      <c r="Q39" t="s">
        <v>133</v>
      </c>
      <c r="R39" t="s">
        <v>134</v>
      </c>
      <c r="S39" t="s">
        <v>135</v>
      </c>
      <c r="T39" t="s">
        <v>136</v>
      </c>
      <c r="U39" t="s">
        <v>137</v>
      </c>
    </row>
    <row r="40" spans="1:21" ht="12.75">
      <c r="A40">
        <v>0</v>
      </c>
      <c r="B40" s="16">
        <v>107</v>
      </c>
      <c r="C40" s="13">
        <f aca="true" t="shared" si="21" ref="C40:C50">U40-B40</f>
        <v>0</v>
      </c>
      <c r="D40" s="14">
        <v>0</v>
      </c>
      <c r="E40" s="14"/>
      <c r="F40" s="14"/>
      <c r="G40" s="14"/>
      <c r="H40" s="14"/>
      <c r="I40" s="14"/>
      <c r="O40">
        <f aca="true" t="shared" si="22" ref="O40:O50">T2-$E$4</f>
        <v>28</v>
      </c>
      <c r="P40">
        <f aca="true" t="shared" si="23" ref="P40:P50">S2*SIN(O40*3.14159/180)/B40</f>
        <v>0</v>
      </c>
      <c r="Q40">
        <f aca="true" t="shared" si="24" ref="Q40:Q50">ASIN(P40)</f>
        <v>0</v>
      </c>
      <c r="R40">
        <f aca="true" t="shared" si="25" ref="R40:R50">$E$4-Q40*180/3.14159</f>
        <v>62</v>
      </c>
      <c r="S40">
        <f aca="true" t="shared" si="26" ref="S40:S50">$B40*COS(Q40)</f>
        <v>107</v>
      </c>
      <c r="T40">
        <f aca="true" t="shared" si="27" ref="T40:T50">$S2*COS(O40*3.14159/180)</f>
        <v>0</v>
      </c>
      <c r="U40">
        <f aca="true" t="shared" si="28" ref="U40:U50">S40+T40</f>
        <v>107</v>
      </c>
    </row>
    <row r="41" spans="1:21" ht="12.75">
      <c r="A41">
        <f aca="true" t="shared" si="29" ref="A41:A50">A40+1000</f>
        <v>1000</v>
      </c>
      <c r="B41" s="18">
        <v>108</v>
      </c>
      <c r="C41" s="13">
        <f t="shared" si="21"/>
        <v>0</v>
      </c>
      <c r="D41" s="14">
        <f aca="true" t="shared" si="30" ref="D41:D50">A41/$F$34</f>
        <v>2.59537771645395</v>
      </c>
      <c r="E41" s="14">
        <f aca="true" t="shared" si="31" ref="E41:E50">D41/60*($O$9+(C41+$C$17)/2)</f>
        <v>3.157709555018972</v>
      </c>
      <c r="F41" s="14">
        <v>0</v>
      </c>
      <c r="G41" s="14">
        <f>F41/60*(130+C41)</f>
        <v>0</v>
      </c>
      <c r="H41" s="14">
        <f aca="true" t="shared" si="32" ref="H41:H50">$C$9-E41-G41</f>
        <v>312.842290444981</v>
      </c>
      <c r="I41" s="15">
        <f>H41/(B41+C41)+D41/60+F41/60+IF(H41&lt;0,-H41/$B$18,0)</f>
        <v>2.9399441697647974</v>
      </c>
      <c r="J41">
        <f aca="true" t="shared" si="33" ref="J41:J50">INT(I41)</f>
        <v>2</v>
      </c>
      <c r="K41" s="8">
        <f aca="true" t="shared" si="34" ref="K41:K50">(I41-J41)*60</f>
        <v>56.39665018588785</v>
      </c>
      <c r="L41">
        <f aca="true" t="shared" si="35" ref="L41:L50">INT(I41*(SUM($H$4:$H$6)+$H$3*$I$33)+$H$2*$H$3)</f>
        <v>1187</v>
      </c>
      <c r="O41">
        <f t="shared" si="22"/>
        <v>38</v>
      </c>
      <c r="P41">
        <f t="shared" si="23"/>
        <v>0</v>
      </c>
      <c r="Q41">
        <f t="shared" si="24"/>
        <v>0</v>
      </c>
      <c r="R41">
        <f t="shared" si="25"/>
        <v>62</v>
      </c>
      <c r="S41">
        <f t="shared" si="26"/>
        <v>108</v>
      </c>
      <c r="T41">
        <f t="shared" si="27"/>
        <v>0</v>
      </c>
      <c r="U41">
        <f t="shared" si="28"/>
        <v>108</v>
      </c>
    </row>
    <row r="42" spans="1:21" ht="12.75">
      <c r="A42">
        <f t="shared" si="29"/>
        <v>2000</v>
      </c>
      <c r="B42" s="18">
        <v>109</v>
      </c>
      <c r="C42" s="13">
        <f t="shared" si="21"/>
        <v>0</v>
      </c>
      <c r="D42" s="14">
        <f t="shared" si="30"/>
        <v>5.1907554329079</v>
      </c>
      <c r="E42" s="14">
        <f t="shared" si="31"/>
        <v>6.315419110037944</v>
      </c>
      <c r="F42" s="14">
        <f aca="true" t="shared" si="36" ref="F42:F50">(A42-1000)/$C$11</f>
        <v>3.3333333333333335</v>
      </c>
      <c r="G42" s="14">
        <f aca="true" t="shared" si="37" ref="G42:G50">F42/60*((B42+$B$41)*$D$36/2+(C42+$C$41)/2)</f>
        <v>6.666871002823712</v>
      </c>
      <c r="H42" s="14">
        <f t="shared" si="32"/>
        <v>303.0177098871383</v>
      </c>
      <c r="I42" s="15">
        <f aca="true" t="shared" si="38" ref="I42:I50">H42/(B42+C42)+D42/60+F42/60+IF(H42&lt;0,-H42/$B$41,0)</f>
        <v>2.9220471358942803</v>
      </c>
      <c r="J42">
        <f t="shared" si="33"/>
        <v>2</v>
      </c>
      <c r="K42" s="8">
        <f t="shared" si="34"/>
        <v>55.32282815365682</v>
      </c>
      <c r="L42">
        <f t="shared" si="35"/>
        <v>1180</v>
      </c>
      <c r="O42">
        <f t="shared" si="22"/>
        <v>48</v>
      </c>
      <c r="P42">
        <f t="shared" si="23"/>
        <v>0</v>
      </c>
      <c r="Q42">
        <f t="shared" si="24"/>
        <v>0</v>
      </c>
      <c r="R42">
        <f t="shared" si="25"/>
        <v>62</v>
      </c>
      <c r="S42">
        <f t="shared" si="26"/>
        <v>109</v>
      </c>
      <c r="T42">
        <f t="shared" si="27"/>
        <v>0</v>
      </c>
      <c r="U42">
        <f t="shared" si="28"/>
        <v>109</v>
      </c>
    </row>
    <row r="43" spans="1:21" ht="12.75">
      <c r="A43">
        <f t="shared" si="29"/>
        <v>3000</v>
      </c>
      <c r="B43" s="18">
        <v>110</v>
      </c>
      <c r="C43" s="13">
        <f t="shared" si="21"/>
        <v>0</v>
      </c>
      <c r="D43" s="14">
        <f t="shared" si="30"/>
        <v>7.7861331493618495</v>
      </c>
      <c r="E43" s="14">
        <f t="shared" si="31"/>
        <v>9.473128665056917</v>
      </c>
      <c r="F43" s="14">
        <f t="shared" si="36"/>
        <v>6.666666666666667</v>
      </c>
      <c r="G43" s="14">
        <f t="shared" si="37"/>
        <v>13.395187821341652</v>
      </c>
      <c r="H43" s="14">
        <f t="shared" si="32"/>
        <v>293.13168351360144</v>
      </c>
      <c r="I43" s="15">
        <f t="shared" si="38"/>
        <v>2.9057134834210943</v>
      </c>
      <c r="J43">
        <f t="shared" si="33"/>
        <v>2</v>
      </c>
      <c r="K43" s="8">
        <f t="shared" si="34"/>
        <v>54.34280900526566</v>
      </c>
      <c r="L43">
        <f t="shared" si="35"/>
        <v>1173</v>
      </c>
      <c r="O43">
        <f t="shared" si="22"/>
        <v>54.666666666666686</v>
      </c>
      <c r="P43">
        <f t="shared" si="23"/>
        <v>0</v>
      </c>
      <c r="Q43">
        <f t="shared" si="24"/>
        <v>0</v>
      </c>
      <c r="R43">
        <f t="shared" si="25"/>
        <v>62</v>
      </c>
      <c r="S43">
        <f t="shared" si="26"/>
        <v>110</v>
      </c>
      <c r="T43">
        <f t="shared" si="27"/>
        <v>0</v>
      </c>
      <c r="U43">
        <f t="shared" si="28"/>
        <v>110</v>
      </c>
    </row>
    <row r="44" spans="1:21" ht="12.75">
      <c r="A44">
        <f t="shared" si="29"/>
        <v>4000</v>
      </c>
      <c r="B44" s="18">
        <v>111</v>
      </c>
      <c r="C44" s="13">
        <f t="shared" si="21"/>
        <v>0</v>
      </c>
      <c r="D44" s="14">
        <f t="shared" si="30"/>
        <v>10.3815108658158</v>
      </c>
      <c r="E44" s="14">
        <f t="shared" si="31"/>
        <v>12.630838220075889</v>
      </c>
      <c r="F44" s="14">
        <f t="shared" si="36"/>
        <v>10</v>
      </c>
      <c r="G44" s="14">
        <f t="shared" si="37"/>
        <v>20.184950455553818</v>
      </c>
      <c r="H44" s="14">
        <f t="shared" si="32"/>
        <v>283.1842113243703</v>
      </c>
      <c r="I44" s="15">
        <f t="shared" si="38"/>
        <v>2.8909009587939596</v>
      </c>
      <c r="J44">
        <f t="shared" si="33"/>
        <v>2</v>
      </c>
      <c r="K44" s="8">
        <f t="shared" si="34"/>
        <v>53.45405752763757</v>
      </c>
      <c r="L44">
        <f t="shared" si="35"/>
        <v>1167</v>
      </c>
      <c r="O44">
        <f t="shared" si="22"/>
        <v>61.333333333333314</v>
      </c>
      <c r="P44">
        <f t="shared" si="23"/>
        <v>0</v>
      </c>
      <c r="Q44">
        <f t="shared" si="24"/>
        <v>0</v>
      </c>
      <c r="R44">
        <f t="shared" si="25"/>
        <v>62</v>
      </c>
      <c r="S44">
        <f t="shared" si="26"/>
        <v>111</v>
      </c>
      <c r="T44">
        <f t="shared" si="27"/>
        <v>0</v>
      </c>
      <c r="U44">
        <f t="shared" si="28"/>
        <v>111</v>
      </c>
    </row>
    <row r="45" spans="1:21" ht="12.75">
      <c r="A45">
        <f t="shared" si="29"/>
        <v>5000</v>
      </c>
      <c r="B45" s="18">
        <v>112</v>
      </c>
      <c r="C45" s="13">
        <f t="shared" si="21"/>
        <v>0</v>
      </c>
      <c r="D45" s="14">
        <f t="shared" si="30"/>
        <v>12.97688858226975</v>
      </c>
      <c r="E45" s="14">
        <f t="shared" si="31"/>
        <v>15.788547775094862</v>
      </c>
      <c r="F45" s="14">
        <f t="shared" si="36"/>
        <v>13.333333333333334</v>
      </c>
      <c r="G45" s="14">
        <f t="shared" si="37"/>
        <v>27.036158905460216</v>
      </c>
      <c r="H45" s="14">
        <f t="shared" si="32"/>
        <v>273.1752933194449</v>
      </c>
      <c r="I45" s="15">
        <f t="shared" si="38"/>
        <v>2.877568817517</v>
      </c>
      <c r="J45">
        <f t="shared" si="33"/>
        <v>2</v>
      </c>
      <c r="K45" s="8">
        <f t="shared" si="34"/>
        <v>52.65412905102</v>
      </c>
      <c r="L45">
        <f t="shared" si="35"/>
        <v>1162</v>
      </c>
      <c r="O45">
        <f t="shared" si="22"/>
        <v>68</v>
      </c>
      <c r="P45">
        <f t="shared" si="23"/>
        <v>0</v>
      </c>
      <c r="Q45">
        <f t="shared" si="24"/>
        <v>0</v>
      </c>
      <c r="R45">
        <f t="shared" si="25"/>
        <v>62</v>
      </c>
      <c r="S45">
        <f t="shared" si="26"/>
        <v>112</v>
      </c>
      <c r="T45">
        <f t="shared" si="27"/>
        <v>0</v>
      </c>
      <c r="U45">
        <f t="shared" si="28"/>
        <v>112</v>
      </c>
    </row>
    <row r="46" spans="1:21" ht="12.75">
      <c r="A46">
        <f t="shared" si="29"/>
        <v>6000</v>
      </c>
      <c r="B46" s="18">
        <v>113</v>
      </c>
      <c r="C46" s="13">
        <f t="shared" si="21"/>
        <v>0</v>
      </c>
      <c r="D46" s="14">
        <f t="shared" si="30"/>
        <v>15.572266298723699</v>
      </c>
      <c r="E46" s="14">
        <f t="shared" si="31"/>
        <v>18.946257330113834</v>
      </c>
      <c r="F46" s="14">
        <f t="shared" si="36"/>
        <v>16.666666666666668</v>
      </c>
      <c r="G46" s="14">
        <f t="shared" si="37"/>
        <v>33.94881317106084</v>
      </c>
      <c r="H46" s="14">
        <f t="shared" si="32"/>
        <v>263.1049294988253</v>
      </c>
      <c r="I46" s="15">
        <f t="shared" si="38"/>
        <v>2.865677757377379</v>
      </c>
      <c r="J46">
        <f t="shared" si="33"/>
        <v>2</v>
      </c>
      <c r="K46" s="8">
        <f t="shared" si="34"/>
        <v>51.94066544264273</v>
      </c>
      <c r="L46">
        <f t="shared" si="35"/>
        <v>1157</v>
      </c>
      <c r="O46">
        <f t="shared" si="22"/>
        <v>70</v>
      </c>
      <c r="P46">
        <f t="shared" si="23"/>
        <v>0</v>
      </c>
      <c r="Q46">
        <f t="shared" si="24"/>
        <v>0</v>
      </c>
      <c r="R46">
        <f t="shared" si="25"/>
        <v>62</v>
      </c>
      <c r="S46">
        <f t="shared" si="26"/>
        <v>113</v>
      </c>
      <c r="T46">
        <f t="shared" si="27"/>
        <v>0</v>
      </c>
      <c r="U46">
        <f t="shared" si="28"/>
        <v>113</v>
      </c>
    </row>
    <row r="47" spans="1:21" ht="12.75">
      <c r="A47">
        <f t="shared" si="29"/>
        <v>7000</v>
      </c>
      <c r="B47" s="18">
        <v>114</v>
      </c>
      <c r="C47" s="13">
        <f t="shared" si="21"/>
        <v>0</v>
      </c>
      <c r="D47" s="14">
        <f t="shared" si="30"/>
        <v>18.167644015177647</v>
      </c>
      <c r="E47" s="14">
        <f t="shared" si="31"/>
        <v>22.103966885132806</v>
      </c>
      <c r="F47" s="14">
        <f t="shared" si="36"/>
        <v>20</v>
      </c>
      <c r="G47" s="14">
        <f t="shared" si="37"/>
        <v>40.922913252355684</v>
      </c>
      <c r="H47" s="14">
        <f t="shared" si="32"/>
        <v>252.9731198625115</v>
      </c>
      <c r="I47" s="15">
        <f t="shared" si="38"/>
        <v>2.8551898551872728</v>
      </c>
      <c r="J47">
        <f t="shared" si="33"/>
        <v>2</v>
      </c>
      <c r="K47" s="8">
        <f t="shared" si="34"/>
        <v>51.31139131123636</v>
      </c>
      <c r="L47">
        <f t="shared" si="35"/>
        <v>1153</v>
      </c>
      <c r="O47">
        <f t="shared" si="22"/>
        <v>72</v>
      </c>
      <c r="P47">
        <f t="shared" si="23"/>
        <v>0</v>
      </c>
      <c r="Q47">
        <f t="shared" si="24"/>
        <v>0</v>
      </c>
      <c r="R47">
        <f t="shared" si="25"/>
        <v>62</v>
      </c>
      <c r="S47">
        <f t="shared" si="26"/>
        <v>114</v>
      </c>
      <c r="T47">
        <f t="shared" si="27"/>
        <v>0</v>
      </c>
      <c r="U47">
        <f t="shared" si="28"/>
        <v>114</v>
      </c>
    </row>
    <row r="48" spans="1:21" ht="12.75">
      <c r="A48">
        <f t="shared" si="29"/>
        <v>8000</v>
      </c>
      <c r="B48" s="18">
        <v>115</v>
      </c>
      <c r="C48" s="13">
        <f t="shared" si="21"/>
        <v>0</v>
      </c>
      <c r="D48" s="14">
        <f t="shared" si="30"/>
        <v>20.7630217316316</v>
      </c>
      <c r="E48" s="14">
        <f t="shared" si="31"/>
        <v>25.261676440151778</v>
      </c>
      <c r="F48" s="14">
        <f t="shared" si="36"/>
        <v>23.333333333333332</v>
      </c>
      <c r="G48" s="14">
        <f t="shared" si="37"/>
        <v>47.95845914934477</v>
      </c>
      <c r="H48" s="14">
        <f t="shared" si="32"/>
        <v>242.77986441050342</v>
      </c>
      <c r="I48" s="15">
        <f t="shared" si="38"/>
        <v>2.846068506826257</v>
      </c>
      <c r="J48">
        <f t="shared" si="33"/>
        <v>2</v>
      </c>
      <c r="K48" s="8">
        <f t="shared" si="34"/>
        <v>50.76411040957541</v>
      </c>
      <c r="L48">
        <f t="shared" si="35"/>
        <v>1150</v>
      </c>
      <c r="O48">
        <f t="shared" si="22"/>
        <v>74</v>
      </c>
      <c r="P48">
        <f t="shared" si="23"/>
        <v>0</v>
      </c>
      <c r="Q48">
        <f t="shared" si="24"/>
        <v>0</v>
      </c>
      <c r="R48">
        <f t="shared" si="25"/>
        <v>62</v>
      </c>
      <c r="S48">
        <f t="shared" si="26"/>
        <v>115</v>
      </c>
      <c r="T48">
        <f t="shared" si="27"/>
        <v>0</v>
      </c>
      <c r="U48">
        <f t="shared" si="28"/>
        <v>115</v>
      </c>
    </row>
    <row r="49" spans="1:21" ht="12.75">
      <c r="A49">
        <f t="shared" si="29"/>
        <v>9000</v>
      </c>
      <c r="B49" s="18">
        <v>116</v>
      </c>
      <c r="C49" s="13">
        <f t="shared" si="21"/>
        <v>0</v>
      </c>
      <c r="D49" s="14">
        <f t="shared" si="30"/>
        <v>23.35839944808555</v>
      </c>
      <c r="E49" s="14">
        <f t="shared" si="31"/>
        <v>28.419385995170753</v>
      </c>
      <c r="F49" s="14">
        <f t="shared" si="36"/>
        <v>26.666666666666668</v>
      </c>
      <c r="G49" s="14">
        <f t="shared" si="37"/>
        <v>55.055450862028074</v>
      </c>
      <c r="H49" s="14">
        <f t="shared" si="32"/>
        <v>232.5251631428012</v>
      </c>
      <c r="I49" s="15">
        <f t="shared" si="38"/>
        <v>2.8382783703849612</v>
      </c>
      <c r="J49">
        <f t="shared" si="33"/>
        <v>2</v>
      </c>
      <c r="K49" s="8">
        <f t="shared" si="34"/>
        <v>50.296702223097675</v>
      </c>
      <c r="L49">
        <f t="shared" si="35"/>
        <v>1147</v>
      </c>
      <c r="O49">
        <f t="shared" si="22"/>
        <v>76</v>
      </c>
      <c r="P49">
        <f t="shared" si="23"/>
        <v>0</v>
      </c>
      <c r="Q49">
        <f t="shared" si="24"/>
        <v>0</v>
      </c>
      <c r="R49">
        <f t="shared" si="25"/>
        <v>62</v>
      </c>
      <c r="S49">
        <f t="shared" si="26"/>
        <v>116</v>
      </c>
      <c r="T49">
        <f t="shared" si="27"/>
        <v>0</v>
      </c>
      <c r="U49">
        <f t="shared" si="28"/>
        <v>116</v>
      </c>
    </row>
    <row r="50" spans="1:21" ht="12.75">
      <c r="A50">
        <f t="shared" si="29"/>
        <v>10000</v>
      </c>
      <c r="B50" s="18">
        <v>117</v>
      </c>
      <c r="C50" s="13">
        <f t="shared" si="21"/>
        <v>0</v>
      </c>
      <c r="D50" s="14">
        <f t="shared" si="30"/>
        <v>25.9537771645395</v>
      </c>
      <c r="E50" s="14">
        <f t="shared" si="31"/>
        <v>31.577095550189725</v>
      </c>
      <c r="F50" s="14">
        <f t="shared" si="36"/>
        <v>30</v>
      </c>
      <c r="G50" s="14">
        <f t="shared" si="37"/>
        <v>62.213888390405614</v>
      </c>
      <c r="H50" s="14">
        <f t="shared" si="32"/>
        <v>222.2090160594047</v>
      </c>
      <c r="I50" s="15">
        <f t="shared" si="38"/>
        <v>2.8317853122244165</v>
      </c>
      <c r="J50">
        <f t="shared" si="33"/>
        <v>2</v>
      </c>
      <c r="K50" s="8">
        <f t="shared" si="34"/>
        <v>49.90711873346499</v>
      </c>
      <c r="L50">
        <f t="shared" si="35"/>
        <v>1144</v>
      </c>
      <c r="O50">
        <f t="shared" si="22"/>
        <v>78</v>
      </c>
      <c r="P50">
        <f t="shared" si="23"/>
        <v>0</v>
      </c>
      <c r="Q50">
        <f t="shared" si="24"/>
        <v>0</v>
      </c>
      <c r="R50">
        <f t="shared" si="25"/>
        <v>62</v>
      </c>
      <c r="S50">
        <f t="shared" si="26"/>
        <v>117</v>
      </c>
      <c r="T50">
        <f t="shared" si="27"/>
        <v>0</v>
      </c>
      <c r="U50">
        <f t="shared" si="28"/>
        <v>117</v>
      </c>
    </row>
    <row r="51" ht="12.75">
      <c r="K51" s="8"/>
    </row>
    <row r="56" spans="1:11" ht="12.75">
      <c r="A56" t="s">
        <v>93</v>
      </c>
      <c r="B56">
        <v>75</v>
      </c>
      <c r="C56" t="s">
        <v>94</v>
      </c>
      <c r="D56">
        <f>B56*$O$8/100</f>
        <v>120</v>
      </c>
      <c r="E56" t="s">
        <v>95</v>
      </c>
      <c r="H56" t="s">
        <v>75</v>
      </c>
      <c r="K56" s="8"/>
    </row>
    <row r="57" spans="8:11" ht="12.75">
      <c r="H57" t="s">
        <v>83</v>
      </c>
      <c r="I57" s="1">
        <v>34</v>
      </c>
      <c r="J57" t="s">
        <v>84</v>
      </c>
      <c r="K57" s="9"/>
    </row>
    <row r="58" spans="5:11" ht="12.75">
      <c r="E58" s="2" t="s">
        <v>106</v>
      </c>
      <c r="F58" s="4">
        <f>(D56-$O$6)*75/$O$2/0.3*60*0.5</f>
        <v>500.1329080276448</v>
      </c>
      <c r="G58" t="s">
        <v>107</v>
      </c>
      <c r="K58" s="9"/>
    </row>
    <row r="59" spans="1:4" ht="12.75">
      <c r="A59" t="s">
        <v>112</v>
      </c>
      <c r="C59">
        <f>$C$11/3/60*$O$2/75</f>
        <v>23.222222222222225</v>
      </c>
      <c r="D59" t="s">
        <v>95</v>
      </c>
    </row>
    <row r="60" spans="1:4" ht="12.75">
      <c r="A60" t="s">
        <v>113</v>
      </c>
      <c r="D60">
        <f>SQRT((C59+D56)/D56)</f>
        <v>1.0924827314509455</v>
      </c>
    </row>
    <row r="62" spans="1:12" ht="12.75">
      <c r="A62" s="2" t="s">
        <v>114</v>
      </c>
      <c r="B62" t="s">
        <v>115</v>
      </c>
      <c r="C62" t="s">
        <v>116</v>
      </c>
      <c r="D62" t="s">
        <v>117</v>
      </c>
      <c r="E62" t="s">
        <v>117</v>
      </c>
      <c r="F62" t="s">
        <v>118</v>
      </c>
      <c r="G62" t="s">
        <v>119</v>
      </c>
      <c r="H62" t="s">
        <v>120</v>
      </c>
      <c r="I62" t="s">
        <v>121</v>
      </c>
      <c r="L62" t="s">
        <v>122</v>
      </c>
    </row>
    <row r="63" spans="1:21" ht="12.75">
      <c r="A63" t="s">
        <v>123</v>
      </c>
      <c r="B63" t="s">
        <v>124</v>
      </c>
      <c r="C63" t="s">
        <v>124</v>
      </c>
      <c r="D63" t="s">
        <v>125</v>
      </c>
      <c r="E63" t="s">
        <v>99</v>
      </c>
      <c r="F63" t="s">
        <v>126</v>
      </c>
      <c r="G63" t="s">
        <v>99</v>
      </c>
      <c r="H63" t="s">
        <v>127</v>
      </c>
      <c r="I63" t="s">
        <v>128</v>
      </c>
      <c r="J63" s="2" t="s">
        <v>129</v>
      </c>
      <c r="K63" t="s">
        <v>70</v>
      </c>
      <c r="L63" t="s">
        <v>130</v>
      </c>
      <c r="O63" t="s">
        <v>131</v>
      </c>
      <c r="P63" t="s">
        <v>132</v>
      </c>
      <c r="Q63" t="s">
        <v>133</v>
      </c>
      <c r="R63" t="s">
        <v>134</v>
      </c>
      <c r="S63" t="s">
        <v>135</v>
      </c>
      <c r="T63" t="s">
        <v>136</v>
      </c>
      <c r="U63" t="s">
        <v>137</v>
      </c>
    </row>
    <row r="64" spans="1:21" ht="12.75">
      <c r="A64">
        <v>0</v>
      </c>
      <c r="B64" s="18">
        <v>114</v>
      </c>
      <c r="C64" s="13">
        <f aca="true" t="shared" si="39" ref="C64:C74">U64-B64</f>
        <v>0</v>
      </c>
      <c r="D64" s="14">
        <v>0</v>
      </c>
      <c r="E64" s="14"/>
      <c r="F64" s="14"/>
      <c r="G64" s="14"/>
      <c r="H64" s="14"/>
      <c r="I64" s="15"/>
      <c r="O64">
        <f aca="true" t="shared" si="40" ref="O64:O74">T2-$E$4</f>
        <v>28</v>
      </c>
      <c r="P64">
        <f aca="true" t="shared" si="41" ref="P64:P74">S2*SIN(O64*3.14159/180)/B64</f>
        <v>0</v>
      </c>
      <c r="Q64">
        <f aca="true" t="shared" si="42" ref="Q64:Q74">ASIN(P64)</f>
        <v>0</v>
      </c>
      <c r="R64">
        <f aca="true" t="shared" si="43" ref="R64:R74">$E$4-Q64*180/3.14159</f>
        <v>62</v>
      </c>
      <c r="S64">
        <f aca="true" t="shared" si="44" ref="S64:S74">$B64*COS(Q64)</f>
        <v>114</v>
      </c>
      <c r="T64">
        <f aca="true" t="shared" si="45" ref="T64:T74">$S2*COS(O64*3.14159/180)</f>
        <v>0</v>
      </c>
      <c r="U64">
        <f aca="true" t="shared" si="46" ref="U64:U74">S64+T64</f>
        <v>114</v>
      </c>
    </row>
    <row r="65" spans="1:21" ht="12.75">
      <c r="A65">
        <f aca="true" t="shared" si="47" ref="A65:A74">A64+1000</f>
        <v>1000</v>
      </c>
      <c r="B65" s="18">
        <v>115</v>
      </c>
      <c r="C65" s="13">
        <f t="shared" si="39"/>
        <v>0</v>
      </c>
      <c r="D65" s="14">
        <f aca="true" t="shared" si="48" ref="D65:D74">A65/$F$58</f>
        <v>1.9994685091682172</v>
      </c>
      <c r="E65" s="14">
        <f aca="true" t="shared" si="49" ref="E65:E74">D65/60*($O$9+(C65+$C$17)/2)</f>
        <v>2.432686686154664</v>
      </c>
      <c r="F65" s="14">
        <v>0</v>
      </c>
      <c r="G65" s="14">
        <f>F65/60*(130+C65)</f>
        <v>0</v>
      </c>
      <c r="H65" s="14">
        <f aca="true" t="shared" si="50" ref="H65:H74">$C$9-E65-G65</f>
        <v>313.5673133138453</v>
      </c>
      <c r="I65" s="15">
        <f aca="true" t="shared" si="51" ref="I65:I74">H65/(B65+C65)+D65/60+F65/60+IF(H65&lt;0,-H65/$B$18,0)</f>
        <v>2.759996764838415</v>
      </c>
      <c r="J65">
        <f aca="true" t="shared" si="52" ref="J65:J74">INT(I65)</f>
        <v>2</v>
      </c>
      <c r="K65" s="8">
        <f aca="true" t="shared" si="53" ref="K65:K74">(I65-J65)*60</f>
        <v>45.59980589030489</v>
      </c>
      <c r="L65">
        <f aca="true" t="shared" si="54" ref="L65:L74">INT(I65*(SUM($H$4:$H$6)+$H$3*$I$57))</f>
        <v>1161</v>
      </c>
      <c r="O65">
        <f t="shared" si="40"/>
        <v>38</v>
      </c>
      <c r="P65">
        <f t="shared" si="41"/>
        <v>0</v>
      </c>
      <c r="Q65">
        <f t="shared" si="42"/>
        <v>0</v>
      </c>
      <c r="R65">
        <f t="shared" si="43"/>
        <v>62</v>
      </c>
      <c r="S65">
        <f t="shared" si="44"/>
        <v>115</v>
      </c>
      <c r="T65">
        <f t="shared" si="45"/>
        <v>0</v>
      </c>
      <c r="U65">
        <f t="shared" si="46"/>
        <v>115</v>
      </c>
    </row>
    <row r="66" spans="1:21" ht="12.75">
      <c r="A66">
        <f t="shared" si="47"/>
        <v>2000</v>
      </c>
      <c r="B66" s="18">
        <v>116</v>
      </c>
      <c r="C66" s="13">
        <f t="shared" si="39"/>
        <v>0</v>
      </c>
      <c r="D66" s="14">
        <f t="shared" si="48"/>
        <v>3.9989370183364343</v>
      </c>
      <c r="E66" s="14">
        <f t="shared" si="49"/>
        <v>4.865373372309328</v>
      </c>
      <c r="F66" s="14">
        <f aca="true" t="shared" si="55" ref="F66:F74">(A66-1000)/$C$11</f>
        <v>3.3333333333333335</v>
      </c>
      <c r="G66" s="14">
        <f aca="true" t="shared" si="56" ref="G66:G74">F66/60*((B66+$B$65)*$D$60/2+(C66+$C$65)/2)</f>
        <v>7.010097526810235</v>
      </c>
      <c r="H66" s="14">
        <f t="shared" si="50"/>
        <v>304.12452910088047</v>
      </c>
      <c r="I66" s="15">
        <f t="shared" si="51"/>
        <v>2.7439676877653048</v>
      </c>
      <c r="J66">
        <f t="shared" si="52"/>
        <v>2</v>
      </c>
      <c r="K66" s="8">
        <f t="shared" si="53"/>
        <v>44.63806126591828</v>
      </c>
      <c r="L66">
        <f t="shared" si="54"/>
        <v>1155</v>
      </c>
      <c r="O66">
        <f t="shared" si="40"/>
        <v>48</v>
      </c>
      <c r="P66">
        <f t="shared" si="41"/>
        <v>0</v>
      </c>
      <c r="Q66">
        <f t="shared" si="42"/>
        <v>0</v>
      </c>
      <c r="R66">
        <f t="shared" si="43"/>
        <v>62</v>
      </c>
      <c r="S66">
        <f t="shared" si="44"/>
        <v>116</v>
      </c>
      <c r="T66">
        <f t="shared" si="45"/>
        <v>0</v>
      </c>
      <c r="U66">
        <f t="shared" si="46"/>
        <v>116</v>
      </c>
    </row>
    <row r="67" spans="1:21" ht="12.75">
      <c r="A67">
        <f t="shared" si="47"/>
        <v>3000</v>
      </c>
      <c r="B67" s="18">
        <v>117</v>
      </c>
      <c r="C67" s="13">
        <f t="shared" si="39"/>
        <v>0</v>
      </c>
      <c r="D67" s="14">
        <f t="shared" si="48"/>
        <v>5.9984055275046515</v>
      </c>
      <c r="E67" s="14">
        <f t="shared" si="49"/>
        <v>7.298060058463992</v>
      </c>
      <c r="F67" s="14">
        <f t="shared" si="55"/>
        <v>6.666666666666667</v>
      </c>
      <c r="G67" s="14">
        <f t="shared" si="56"/>
        <v>14.080888538701076</v>
      </c>
      <c r="H67" s="14">
        <f t="shared" si="50"/>
        <v>294.62105140283495</v>
      </c>
      <c r="I67" s="15">
        <f t="shared" si="51"/>
        <v>2.729213181038197</v>
      </c>
      <c r="J67">
        <f t="shared" si="52"/>
        <v>2</v>
      </c>
      <c r="K67" s="8">
        <f t="shared" si="53"/>
        <v>43.75279086229182</v>
      </c>
      <c r="L67">
        <f t="shared" si="54"/>
        <v>1148</v>
      </c>
      <c r="O67">
        <f t="shared" si="40"/>
        <v>54.666666666666686</v>
      </c>
      <c r="P67">
        <f t="shared" si="41"/>
        <v>0</v>
      </c>
      <c r="Q67">
        <f t="shared" si="42"/>
        <v>0</v>
      </c>
      <c r="R67">
        <f t="shared" si="43"/>
        <v>62</v>
      </c>
      <c r="S67">
        <f t="shared" si="44"/>
        <v>117</v>
      </c>
      <c r="T67">
        <f t="shared" si="45"/>
        <v>0</v>
      </c>
      <c r="U67">
        <f t="shared" si="46"/>
        <v>117</v>
      </c>
    </row>
    <row r="68" spans="1:21" ht="12.75">
      <c r="A68">
        <f t="shared" si="47"/>
        <v>4000</v>
      </c>
      <c r="B68" s="18">
        <v>118</v>
      </c>
      <c r="C68" s="13">
        <f t="shared" si="39"/>
        <v>0</v>
      </c>
      <c r="D68" s="14">
        <f t="shared" si="48"/>
        <v>7.997874036672869</v>
      </c>
      <c r="E68" s="14">
        <f t="shared" si="49"/>
        <v>9.730746744618656</v>
      </c>
      <c r="F68" s="14">
        <f t="shared" si="55"/>
        <v>10</v>
      </c>
      <c r="G68" s="14">
        <f t="shared" si="56"/>
        <v>21.212373035672524</v>
      </c>
      <c r="H68" s="14">
        <f t="shared" si="50"/>
        <v>285.05688021970883</v>
      </c>
      <c r="I68" s="15">
        <f t="shared" si="51"/>
        <v>2.7157008403262606</v>
      </c>
      <c r="J68">
        <f t="shared" si="52"/>
        <v>2</v>
      </c>
      <c r="K68" s="8">
        <f t="shared" si="53"/>
        <v>42.94205041957564</v>
      </c>
      <c r="L68">
        <f t="shared" si="54"/>
        <v>1143</v>
      </c>
      <c r="O68">
        <f t="shared" si="40"/>
        <v>61.333333333333314</v>
      </c>
      <c r="P68">
        <f t="shared" si="41"/>
        <v>0</v>
      </c>
      <c r="Q68">
        <f t="shared" si="42"/>
        <v>0</v>
      </c>
      <c r="R68">
        <f t="shared" si="43"/>
        <v>62</v>
      </c>
      <c r="S68">
        <f t="shared" si="44"/>
        <v>118</v>
      </c>
      <c r="T68">
        <f t="shared" si="45"/>
        <v>0</v>
      </c>
      <c r="U68">
        <f t="shared" si="46"/>
        <v>118</v>
      </c>
    </row>
    <row r="69" spans="1:21" ht="12.75">
      <c r="A69">
        <f t="shared" si="47"/>
        <v>5000</v>
      </c>
      <c r="B69" s="18">
        <v>119</v>
      </c>
      <c r="C69" s="13">
        <f t="shared" si="39"/>
        <v>0</v>
      </c>
      <c r="D69" s="14">
        <f t="shared" si="48"/>
        <v>9.997342545841086</v>
      </c>
      <c r="E69" s="14">
        <f t="shared" si="49"/>
        <v>12.16343343077332</v>
      </c>
      <c r="F69" s="14">
        <f t="shared" si="55"/>
        <v>13.333333333333334</v>
      </c>
      <c r="G69" s="14">
        <f t="shared" si="56"/>
        <v>28.404551017724586</v>
      </c>
      <c r="H69" s="14">
        <f t="shared" si="50"/>
        <v>275.4320155515021</v>
      </c>
      <c r="I69" s="15">
        <f t="shared" si="51"/>
        <v>2.7033993505198715</v>
      </c>
      <c r="J69">
        <f t="shared" si="52"/>
        <v>2</v>
      </c>
      <c r="K69" s="8">
        <f t="shared" si="53"/>
        <v>42.203961031192286</v>
      </c>
      <c r="L69">
        <f t="shared" si="54"/>
        <v>1138</v>
      </c>
      <c r="O69">
        <f t="shared" si="40"/>
        <v>68</v>
      </c>
      <c r="P69">
        <f t="shared" si="41"/>
        <v>0</v>
      </c>
      <c r="Q69">
        <f t="shared" si="42"/>
        <v>0</v>
      </c>
      <c r="R69">
        <f t="shared" si="43"/>
        <v>62</v>
      </c>
      <c r="S69">
        <f t="shared" si="44"/>
        <v>119</v>
      </c>
      <c r="T69">
        <f t="shared" si="45"/>
        <v>0</v>
      </c>
      <c r="U69">
        <f t="shared" si="46"/>
        <v>119</v>
      </c>
    </row>
    <row r="70" spans="1:21" ht="12.75">
      <c r="A70">
        <f t="shared" si="47"/>
        <v>6000</v>
      </c>
      <c r="B70" s="18">
        <v>120</v>
      </c>
      <c r="C70" s="13">
        <f t="shared" si="39"/>
        <v>0</v>
      </c>
      <c r="D70" s="14">
        <f t="shared" si="48"/>
        <v>11.996811055009303</v>
      </c>
      <c r="E70" s="14">
        <f t="shared" si="49"/>
        <v>14.596120116927985</v>
      </c>
      <c r="F70" s="14">
        <f t="shared" si="55"/>
        <v>16.666666666666668</v>
      </c>
      <c r="G70" s="14">
        <f t="shared" si="56"/>
        <v>35.65742248485725</v>
      </c>
      <c r="H70" s="14">
        <f t="shared" si="50"/>
        <v>265.7464573982148</v>
      </c>
      <c r="I70" s="15">
        <f t="shared" si="51"/>
        <v>2.692278440346389</v>
      </c>
      <c r="J70">
        <f t="shared" si="52"/>
        <v>2</v>
      </c>
      <c r="K70" s="8">
        <f t="shared" si="53"/>
        <v>41.53670642078335</v>
      </c>
      <c r="L70">
        <f t="shared" si="54"/>
        <v>1133</v>
      </c>
      <c r="O70">
        <f t="shared" si="40"/>
        <v>70</v>
      </c>
      <c r="P70">
        <f t="shared" si="41"/>
        <v>0</v>
      </c>
      <c r="Q70">
        <f t="shared" si="42"/>
        <v>0</v>
      </c>
      <c r="R70">
        <f t="shared" si="43"/>
        <v>62</v>
      </c>
      <c r="S70">
        <f t="shared" si="44"/>
        <v>120</v>
      </c>
      <c r="T70">
        <f t="shared" si="45"/>
        <v>0</v>
      </c>
      <c r="U70">
        <f t="shared" si="46"/>
        <v>120</v>
      </c>
    </row>
    <row r="71" spans="1:21" ht="12.75">
      <c r="A71">
        <f t="shared" si="47"/>
        <v>7000</v>
      </c>
      <c r="B71" s="18">
        <v>120.5</v>
      </c>
      <c r="C71" s="13">
        <f t="shared" si="39"/>
        <v>0</v>
      </c>
      <c r="D71" s="14">
        <f t="shared" si="48"/>
        <v>13.99627956417752</v>
      </c>
      <c r="E71" s="14">
        <f t="shared" si="49"/>
        <v>17.02880680308265</v>
      </c>
      <c r="F71" s="14">
        <f t="shared" si="55"/>
        <v>20</v>
      </c>
      <c r="G71" s="14">
        <f t="shared" si="56"/>
        <v>42.87994720944961</v>
      </c>
      <c r="H71" s="14">
        <f t="shared" si="50"/>
        <v>256.09124598746774</v>
      </c>
      <c r="I71" s="15">
        <f t="shared" si="51"/>
        <v>2.6918432153155543</v>
      </c>
      <c r="J71">
        <f t="shared" si="52"/>
        <v>2</v>
      </c>
      <c r="K71" s="8">
        <f t="shared" si="53"/>
        <v>41.510592918933256</v>
      </c>
      <c r="L71">
        <f t="shared" si="54"/>
        <v>1133</v>
      </c>
      <c r="O71">
        <f t="shared" si="40"/>
        <v>72</v>
      </c>
      <c r="P71">
        <f t="shared" si="41"/>
        <v>0</v>
      </c>
      <c r="Q71">
        <f t="shared" si="42"/>
        <v>0</v>
      </c>
      <c r="R71">
        <f t="shared" si="43"/>
        <v>62</v>
      </c>
      <c r="S71">
        <f t="shared" si="44"/>
        <v>120.5</v>
      </c>
      <c r="T71">
        <f t="shared" si="45"/>
        <v>0</v>
      </c>
      <c r="U71">
        <f t="shared" si="46"/>
        <v>120.5</v>
      </c>
    </row>
    <row r="72" spans="1:21" ht="12.75">
      <c r="A72">
        <f t="shared" si="47"/>
        <v>8000</v>
      </c>
      <c r="B72" s="18">
        <v>121</v>
      </c>
      <c r="C72" s="13">
        <f t="shared" si="39"/>
        <v>0</v>
      </c>
      <c r="D72" s="14">
        <f t="shared" si="48"/>
        <v>15.995748073345737</v>
      </c>
      <c r="E72" s="14">
        <f t="shared" si="49"/>
        <v>19.461493489237313</v>
      </c>
      <c r="F72" s="14">
        <f t="shared" si="55"/>
        <v>23.333333333333332</v>
      </c>
      <c r="G72" s="14">
        <f t="shared" si="56"/>
        <v>50.13281867658228</v>
      </c>
      <c r="H72" s="14">
        <f t="shared" si="50"/>
        <v>246.40568783418038</v>
      </c>
      <c r="I72" s="15">
        <f t="shared" si="51"/>
        <v>2.6918953333690068</v>
      </c>
      <c r="J72">
        <f t="shared" si="52"/>
        <v>2</v>
      </c>
      <c r="K72" s="8">
        <f t="shared" si="53"/>
        <v>41.5137200021404</v>
      </c>
      <c r="L72">
        <f t="shared" si="54"/>
        <v>1133</v>
      </c>
      <c r="O72">
        <f t="shared" si="40"/>
        <v>74</v>
      </c>
      <c r="P72">
        <f t="shared" si="41"/>
        <v>0</v>
      </c>
      <c r="Q72">
        <f t="shared" si="42"/>
        <v>0</v>
      </c>
      <c r="R72">
        <f t="shared" si="43"/>
        <v>62</v>
      </c>
      <c r="S72">
        <f t="shared" si="44"/>
        <v>121</v>
      </c>
      <c r="T72">
        <f t="shared" si="45"/>
        <v>0</v>
      </c>
      <c r="U72">
        <f t="shared" si="46"/>
        <v>121</v>
      </c>
    </row>
    <row r="73" spans="1:21" ht="12.75">
      <c r="A73">
        <f t="shared" si="47"/>
        <v>9000</v>
      </c>
      <c r="B73" s="18">
        <v>120</v>
      </c>
      <c r="C73" s="13">
        <f t="shared" si="39"/>
        <v>0</v>
      </c>
      <c r="D73" s="14">
        <f t="shared" si="48"/>
        <v>17.995216582513955</v>
      </c>
      <c r="E73" s="14">
        <f t="shared" si="49"/>
        <v>21.894180175391977</v>
      </c>
      <c r="F73" s="14">
        <f t="shared" si="55"/>
        <v>26.666666666666668</v>
      </c>
      <c r="G73" s="14">
        <f t="shared" si="56"/>
        <v>57.0518759757716</v>
      </c>
      <c r="H73" s="14">
        <f t="shared" si="50"/>
        <v>237.05394384883644</v>
      </c>
      <c r="I73" s="15">
        <f t="shared" si="51"/>
        <v>2.7198142528933142</v>
      </c>
      <c r="J73">
        <f t="shared" si="52"/>
        <v>2</v>
      </c>
      <c r="K73" s="8">
        <f t="shared" si="53"/>
        <v>43.18885517359885</v>
      </c>
      <c r="L73">
        <f t="shared" si="54"/>
        <v>1145</v>
      </c>
      <c r="O73">
        <f t="shared" si="40"/>
        <v>76</v>
      </c>
      <c r="P73">
        <f t="shared" si="41"/>
        <v>0</v>
      </c>
      <c r="Q73">
        <f t="shared" si="42"/>
        <v>0</v>
      </c>
      <c r="R73">
        <f t="shared" si="43"/>
        <v>62</v>
      </c>
      <c r="S73">
        <f t="shared" si="44"/>
        <v>120</v>
      </c>
      <c r="T73">
        <f t="shared" si="45"/>
        <v>0</v>
      </c>
      <c r="U73">
        <f t="shared" si="46"/>
        <v>120</v>
      </c>
    </row>
    <row r="74" spans="1:21" ht="12.75">
      <c r="A74">
        <f t="shared" si="47"/>
        <v>10000</v>
      </c>
      <c r="B74" s="18">
        <v>119</v>
      </c>
      <c r="C74" s="13">
        <f t="shared" si="39"/>
        <v>0</v>
      </c>
      <c r="D74" s="14">
        <f t="shared" si="48"/>
        <v>19.99468509168217</v>
      </c>
      <c r="E74" s="14">
        <f t="shared" si="49"/>
        <v>24.32686686154664</v>
      </c>
      <c r="F74" s="14">
        <f t="shared" si="55"/>
        <v>30</v>
      </c>
      <c r="G74" s="14">
        <f t="shared" si="56"/>
        <v>63.910239789880315</v>
      </c>
      <c r="H74" s="14">
        <f t="shared" si="50"/>
        <v>227.76289334857304</v>
      </c>
      <c r="I74" s="15">
        <f t="shared" si="51"/>
        <v>2.747218645213524</v>
      </c>
      <c r="J74">
        <f t="shared" si="52"/>
        <v>2</v>
      </c>
      <c r="K74" s="8">
        <f t="shared" si="53"/>
        <v>44.83311871281145</v>
      </c>
      <c r="L74">
        <f t="shared" si="54"/>
        <v>1156</v>
      </c>
      <c r="O74">
        <f t="shared" si="40"/>
        <v>78</v>
      </c>
      <c r="P74">
        <f t="shared" si="41"/>
        <v>0</v>
      </c>
      <c r="Q74">
        <f t="shared" si="42"/>
        <v>0</v>
      </c>
      <c r="R74">
        <f t="shared" si="43"/>
        <v>62</v>
      </c>
      <c r="S74">
        <f t="shared" si="44"/>
        <v>119</v>
      </c>
      <c r="T74">
        <f t="shared" si="45"/>
        <v>0</v>
      </c>
      <c r="U74">
        <f t="shared" si="46"/>
        <v>119</v>
      </c>
    </row>
    <row r="79" spans="1:9" ht="12.75">
      <c r="A79" t="s">
        <v>141</v>
      </c>
      <c r="D79" t="s">
        <v>142</v>
      </c>
      <c r="F79">
        <v>90</v>
      </c>
      <c r="G79" t="s">
        <v>94</v>
      </c>
      <c r="H79">
        <f>F79*$O$8/100</f>
        <v>144</v>
      </c>
      <c r="I79" t="s">
        <v>95</v>
      </c>
    </row>
    <row r="80" spans="4:11" ht="12.75">
      <c r="D80" t="s">
        <v>143</v>
      </c>
      <c r="F80">
        <v>75</v>
      </c>
      <c r="G80" t="s">
        <v>94</v>
      </c>
      <c r="H80">
        <f>F80*$O$8/100</f>
        <v>120</v>
      </c>
      <c r="I80" t="s">
        <v>95</v>
      </c>
      <c r="K80" s="9"/>
    </row>
    <row r="81" ht="12.75">
      <c r="K81" s="9"/>
    </row>
    <row r="82" spans="4:9" ht="12.75">
      <c r="D82" t="s">
        <v>106</v>
      </c>
      <c r="F82" s="4">
        <f>($H$79-$O$6)*75/$O$2/0.3*60*0.5</f>
        <v>672.381711855396</v>
      </c>
      <c r="G82" t="s">
        <v>107</v>
      </c>
      <c r="I82" t="s">
        <v>75</v>
      </c>
    </row>
    <row r="83" spans="1:11" ht="12.75">
      <c r="A83" t="s">
        <v>112</v>
      </c>
      <c r="C83">
        <f>$C$11/3/60*$O$2/75</f>
        <v>23.222222222222225</v>
      </c>
      <c r="D83" t="s">
        <v>95</v>
      </c>
      <c r="I83" t="s">
        <v>83</v>
      </c>
      <c r="J83" s="1">
        <v>40</v>
      </c>
      <c r="K83" t="s">
        <v>84</v>
      </c>
    </row>
    <row r="84" spans="1:4" ht="12.75">
      <c r="A84" t="s">
        <v>113</v>
      </c>
      <c r="D84">
        <f>SQRT((C83+H79)/H79)</f>
        <v>1.0776202634039347</v>
      </c>
    </row>
    <row r="86" spans="1:12" ht="12.75">
      <c r="A86" s="2" t="s">
        <v>114</v>
      </c>
      <c r="B86" t="s">
        <v>115</v>
      </c>
      <c r="C86" t="s">
        <v>116</v>
      </c>
      <c r="D86" t="s">
        <v>117</v>
      </c>
      <c r="E86" t="s">
        <v>117</v>
      </c>
      <c r="F86" t="s">
        <v>118</v>
      </c>
      <c r="G86" t="s">
        <v>119</v>
      </c>
      <c r="H86" t="s">
        <v>120</v>
      </c>
      <c r="I86" t="s">
        <v>121</v>
      </c>
      <c r="L86" t="s">
        <v>122</v>
      </c>
    </row>
    <row r="87" spans="1:21" ht="12.75">
      <c r="A87" t="s">
        <v>123</v>
      </c>
      <c r="B87" t="s">
        <v>124</v>
      </c>
      <c r="C87" t="s">
        <v>124</v>
      </c>
      <c r="D87" t="s">
        <v>125</v>
      </c>
      <c r="E87" t="s">
        <v>99</v>
      </c>
      <c r="F87" t="s">
        <v>126</v>
      </c>
      <c r="G87" t="s">
        <v>99</v>
      </c>
      <c r="H87" t="s">
        <v>127</v>
      </c>
      <c r="I87" t="s">
        <v>128</v>
      </c>
      <c r="J87" s="2" t="s">
        <v>129</v>
      </c>
      <c r="K87" t="s">
        <v>70</v>
      </c>
      <c r="L87" t="s">
        <v>130</v>
      </c>
      <c r="O87" t="s">
        <v>131</v>
      </c>
      <c r="P87" t="s">
        <v>132</v>
      </c>
      <c r="Q87" t="s">
        <v>133</v>
      </c>
      <c r="R87" t="s">
        <v>134</v>
      </c>
      <c r="S87" t="s">
        <v>135</v>
      </c>
      <c r="T87" t="s">
        <v>136</v>
      </c>
      <c r="U87" t="s">
        <v>137</v>
      </c>
    </row>
    <row r="88" spans="1:21" ht="12.75">
      <c r="A88">
        <v>0</v>
      </c>
      <c r="B88" s="18">
        <f>B64+0.5</f>
        <v>114.5</v>
      </c>
      <c r="C88" s="13">
        <f aca="true" t="shared" si="57" ref="C88:C98">U88-B88</f>
        <v>0</v>
      </c>
      <c r="D88">
        <v>0</v>
      </c>
      <c r="O88">
        <f aca="true" t="shared" si="58" ref="O88:O98">T2-$E$4</f>
        <v>28</v>
      </c>
      <c r="P88">
        <f aca="true" t="shared" si="59" ref="P88:P98">S2*SIN(O88*3.14159/180)/B88</f>
        <v>0</v>
      </c>
      <c r="Q88">
        <f aca="true" t="shared" si="60" ref="Q88:Q98">ASIN(P88)</f>
        <v>0</v>
      </c>
      <c r="R88">
        <f aca="true" t="shared" si="61" ref="R88:R98">$E$4-Q88*180/3.14159</f>
        <v>62</v>
      </c>
      <c r="S88">
        <f aca="true" t="shared" si="62" ref="S88:S98">$B88*COS(Q88)</f>
        <v>114.5</v>
      </c>
      <c r="T88">
        <f aca="true" t="shared" si="63" ref="T88:T98">$S2*COS(O88*3.14159/180)</f>
        <v>0</v>
      </c>
      <c r="U88">
        <f aca="true" t="shared" si="64" ref="U88:U98">S88+T88</f>
        <v>114.5</v>
      </c>
    </row>
    <row r="89" spans="1:21" ht="12.75">
      <c r="A89">
        <f aca="true" t="shared" si="65" ref="A89:A98">A88+1000</f>
        <v>1000</v>
      </c>
      <c r="B89" s="18">
        <f aca="true" t="shared" si="66" ref="B89:B98">B65+0.5</f>
        <v>115.5</v>
      </c>
      <c r="C89" s="13">
        <f t="shared" si="57"/>
        <v>0</v>
      </c>
      <c r="D89" s="14">
        <f aca="true" t="shared" si="67" ref="D89:D98">A89/$F$82</f>
        <v>1.4872504447519275</v>
      </c>
      <c r="E89" s="14">
        <f aca="true" t="shared" si="68" ref="E89:E98">D89/60*($O$9+(C89+$C$17)/2)</f>
        <v>1.809488041114845</v>
      </c>
      <c r="F89" s="14">
        <v>0</v>
      </c>
      <c r="G89" s="14">
        <f>F89/60*(130+C89)</f>
        <v>0</v>
      </c>
      <c r="H89" s="14">
        <f aca="true" t="shared" si="69" ref="H89:H98">$C$9-E89-G89</f>
        <v>314.19051195888517</v>
      </c>
      <c r="I89" s="15">
        <f aca="true" t="shared" si="70" ref="I89:I98">H89/(B89+C89)+D89/60+F89/60+IF(H89&lt;0,-H89/$B$18,0)</f>
        <v>2.745051680216733</v>
      </c>
      <c r="J89">
        <f aca="true" t="shared" si="71" ref="J89:J98">INT(I89)</f>
        <v>2</v>
      </c>
      <c r="K89" s="8">
        <f aca="true" t="shared" si="72" ref="K89:K98">(I89-J89)*60</f>
        <v>44.70310081300397</v>
      </c>
      <c r="L89">
        <f aca="true" t="shared" si="73" ref="L89:L98">INT(I89*(SUM($H$4:$H$6)+$H$3*$J$83)+$H$2*$H$3)</f>
        <v>1288</v>
      </c>
      <c r="O89">
        <f t="shared" si="58"/>
        <v>38</v>
      </c>
      <c r="P89">
        <f t="shared" si="59"/>
        <v>0</v>
      </c>
      <c r="Q89">
        <f t="shared" si="60"/>
        <v>0</v>
      </c>
      <c r="R89">
        <f t="shared" si="61"/>
        <v>62</v>
      </c>
      <c r="S89">
        <f t="shared" si="62"/>
        <v>115.5</v>
      </c>
      <c r="T89">
        <f t="shared" si="63"/>
        <v>0</v>
      </c>
      <c r="U89">
        <f t="shared" si="64"/>
        <v>115.5</v>
      </c>
    </row>
    <row r="90" spans="1:21" ht="12.75">
      <c r="A90">
        <f t="shared" si="65"/>
        <v>2000</v>
      </c>
      <c r="B90" s="18">
        <f t="shared" si="66"/>
        <v>116.5</v>
      </c>
      <c r="C90" s="13">
        <f t="shared" si="57"/>
        <v>0</v>
      </c>
      <c r="D90" s="14">
        <f t="shared" si="67"/>
        <v>2.974500889503855</v>
      </c>
      <c r="E90" s="14">
        <f t="shared" si="68"/>
        <v>3.61897608222969</v>
      </c>
      <c r="F90" s="14">
        <f aca="true" t="shared" si="74" ref="F90:F98">(A90-1000)/$C$11</f>
        <v>3.3333333333333335</v>
      </c>
      <c r="G90" s="14">
        <f>F90/60*((B90+$B$89)*$D$84/2+(C90+$C$89)/2)</f>
        <v>6.944663919714246</v>
      </c>
      <c r="H90" s="14">
        <f t="shared" si="69"/>
        <v>305.4363599980561</v>
      </c>
      <c r="I90" s="15">
        <f t="shared" si="70"/>
        <v>2.7269019008360367</v>
      </c>
      <c r="J90">
        <f t="shared" si="71"/>
        <v>2</v>
      </c>
      <c r="K90" s="8">
        <f t="shared" si="72"/>
        <v>43.6141140501622</v>
      </c>
      <c r="L90">
        <f t="shared" si="73"/>
        <v>1280</v>
      </c>
      <c r="O90">
        <f t="shared" si="58"/>
        <v>48</v>
      </c>
      <c r="P90">
        <f t="shared" si="59"/>
        <v>0</v>
      </c>
      <c r="Q90">
        <f t="shared" si="60"/>
        <v>0</v>
      </c>
      <c r="R90">
        <f t="shared" si="61"/>
        <v>62</v>
      </c>
      <c r="S90">
        <f t="shared" si="62"/>
        <v>116.5</v>
      </c>
      <c r="T90">
        <f t="shared" si="63"/>
        <v>0</v>
      </c>
      <c r="U90">
        <f t="shared" si="64"/>
        <v>116.5</v>
      </c>
    </row>
    <row r="91" spans="1:21" ht="12.75">
      <c r="A91">
        <f t="shared" si="65"/>
        <v>3000</v>
      </c>
      <c r="B91" s="18">
        <f t="shared" si="66"/>
        <v>117.5</v>
      </c>
      <c r="C91" s="13">
        <f t="shared" si="57"/>
        <v>0</v>
      </c>
      <c r="D91" s="14">
        <f t="shared" si="67"/>
        <v>4.461751334255782</v>
      </c>
      <c r="E91" s="14">
        <f t="shared" si="68"/>
        <v>5.4284641233445345</v>
      </c>
      <c r="F91" s="14">
        <f t="shared" si="74"/>
        <v>6.666666666666667</v>
      </c>
      <c r="G91" s="14">
        <f aca="true" t="shared" si="75" ref="G91:G98">F91/60*((B91+$B$65)*$D$60/2+(C91+$C$65)/2)</f>
        <v>14.111235281241381</v>
      </c>
      <c r="H91" s="14">
        <f t="shared" si="69"/>
        <v>296.4603005954141</v>
      </c>
      <c r="I91" s="15">
        <f t="shared" si="70"/>
        <v>2.708540021394785</v>
      </c>
      <c r="J91">
        <f t="shared" si="71"/>
        <v>2</v>
      </c>
      <c r="K91" s="8">
        <f t="shared" si="72"/>
        <v>42.51240128368708</v>
      </c>
      <c r="L91">
        <f t="shared" si="73"/>
        <v>1271</v>
      </c>
      <c r="O91">
        <f t="shared" si="58"/>
        <v>54.666666666666686</v>
      </c>
      <c r="P91">
        <f t="shared" si="59"/>
        <v>0</v>
      </c>
      <c r="Q91">
        <f t="shared" si="60"/>
        <v>0</v>
      </c>
      <c r="R91">
        <f t="shared" si="61"/>
        <v>62</v>
      </c>
      <c r="S91">
        <f t="shared" si="62"/>
        <v>117.5</v>
      </c>
      <c r="T91">
        <f t="shared" si="63"/>
        <v>0</v>
      </c>
      <c r="U91">
        <f t="shared" si="64"/>
        <v>117.5</v>
      </c>
    </row>
    <row r="92" spans="1:21" ht="12.75">
      <c r="A92">
        <f t="shared" si="65"/>
        <v>4000</v>
      </c>
      <c r="B92" s="18">
        <f t="shared" si="66"/>
        <v>118.5</v>
      </c>
      <c r="C92" s="13">
        <f t="shared" si="57"/>
        <v>0</v>
      </c>
      <c r="D92" s="14">
        <f t="shared" si="67"/>
        <v>5.94900177900771</v>
      </c>
      <c r="E92" s="14">
        <f t="shared" si="68"/>
        <v>7.23795216445938</v>
      </c>
      <c r="F92" s="14">
        <f t="shared" si="74"/>
        <v>10</v>
      </c>
      <c r="G92" s="14">
        <f t="shared" si="75"/>
        <v>21.25789314948298</v>
      </c>
      <c r="H92" s="14">
        <f t="shared" si="69"/>
        <v>287.50415468605763</v>
      </c>
      <c r="I92" s="15">
        <f t="shared" si="70"/>
        <v>2.692012094511374</v>
      </c>
      <c r="J92">
        <f t="shared" si="71"/>
        <v>2</v>
      </c>
      <c r="K92" s="8">
        <f t="shared" si="72"/>
        <v>41.52072567068244</v>
      </c>
      <c r="L92">
        <f t="shared" si="73"/>
        <v>1264</v>
      </c>
      <c r="O92">
        <f t="shared" si="58"/>
        <v>61.333333333333314</v>
      </c>
      <c r="P92">
        <f t="shared" si="59"/>
        <v>0</v>
      </c>
      <c r="Q92">
        <f t="shared" si="60"/>
        <v>0</v>
      </c>
      <c r="R92">
        <f t="shared" si="61"/>
        <v>62</v>
      </c>
      <c r="S92">
        <f t="shared" si="62"/>
        <v>118.5</v>
      </c>
      <c r="T92">
        <f t="shared" si="63"/>
        <v>0</v>
      </c>
      <c r="U92">
        <f t="shared" si="64"/>
        <v>118.5</v>
      </c>
    </row>
    <row r="93" spans="1:21" ht="12.75">
      <c r="A93">
        <f t="shared" si="65"/>
        <v>5000</v>
      </c>
      <c r="B93" s="18">
        <f t="shared" si="66"/>
        <v>119.5</v>
      </c>
      <c r="C93" s="13">
        <f t="shared" si="57"/>
        <v>0</v>
      </c>
      <c r="D93" s="14">
        <f t="shared" si="67"/>
        <v>7.436252223759637</v>
      </c>
      <c r="E93" s="14">
        <f t="shared" si="68"/>
        <v>9.047440205574224</v>
      </c>
      <c r="F93" s="14">
        <f t="shared" si="74"/>
        <v>13.333333333333334</v>
      </c>
      <c r="G93" s="14">
        <f t="shared" si="75"/>
        <v>28.465244502805195</v>
      </c>
      <c r="H93" s="14">
        <f t="shared" si="69"/>
        <v>278.4873152916206</v>
      </c>
      <c r="I93" s="15">
        <f t="shared" si="70"/>
        <v>2.676597544152001</v>
      </c>
      <c r="J93">
        <f t="shared" si="71"/>
        <v>2</v>
      </c>
      <c r="K93" s="8">
        <f t="shared" si="72"/>
        <v>40.595852649120054</v>
      </c>
      <c r="L93">
        <f t="shared" si="73"/>
        <v>1257</v>
      </c>
      <c r="O93">
        <f t="shared" si="58"/>
        <v>68</v>
      </c>
      <c r="P93">
        <f t="shared" si="59"/>
        <v>0</v>
      </c>
      <c r="Q93">
        <f t="shared" si="60"/>
        <v>0</v>
      </c>
      <c r="R93">
        <f t="shared" si="61"/>
        <v>62</v>
      </c>
      <c r="S93">
        <f t="shared" si="62"/>
        <v>119.5</v>
      </c>
      <c r="T93">
        <f t="shared" si="63"/>
        <v>0</v>
      </c>
      <c r="U93">
        <f t="shared" si="64"/>
        <v>119.5</v>
      </c>
    </row>
    <row r="94" spans="1:21" ht="12.75">
      <c r="A94">
        <f t="shared" si="65"/>
        <v>6000</v>
      </c>
      <c r="B94" s="18">
        <f t="shared" si="66"/>
        <v>120.5</v>
      </c>
      <c r="C94" s="13">
        <f t="shared" si="57"/>
        <v>0</v>
      </c>
      <c r="D94" s="14">
        <f t="shared" si="67"/>
        <v>8.923502668511563</v>
      </c>
      <c r="E94" s="14">
        <f t="shared" si="68"/>
        <v>10.856928246689069</v>
      </c>
      <c r="F94" s="14">
        <f t="shared" si="74"/>
        <v>16.666666666666668</v>
      </c>
      <c r="G94" s="14">
        <f t="shared" si="75"/>
        <v>35.733289341208014</v>
      </c>
      <c r="H94" s="14">
        <f t="shared" si="69"/>
        <v>269.4097824121029</v>
      </c>
      <c r="I94" s="15">
        <f t="shared" si="70"/>
        <v>2.6622686513990526</v>
      </c>
      <c r="J94">
        <f t="shared" si="71"/>
        <v>2</v>
      </c>
      <c r="K94" s="8">
        <f t="shared" si="72"/>
        <v>39.73611908394315</v>
      </c>
      <c r="L94">
        <f t="shared" si="73"/>
        <v>1250</v>
      </c>
      <c r="O94">
        <f t="shared" si="58"/>
        <v>70</v>
      </c>
      <c r="P94">
        <f t="shared" si="59"/>
        <v>0</v>
      </c>
      <c r="Q94">
        <f t="shared" si="60"/>
        <v>0</v>
      </c>
      <c r="R94">
        <f t="shared" si="61"/>
        <v>62</v>
      </c>
      <c r="S94">
        <f t="shared" si="62"/>
        <v>120.5</v>
      </c>
      <c r="T94">
        <f t="shared" si="63"/>
        <v>0</v>
      </c>
      <c r="U94">
        <f t="shared" si="64"/>
        <v>120.5</v>
      </c>
    </row>
    <row r="95" spans="1:21" ht="12.75">
      <c r="A95">
        <f t="shared" si="65"/>
        <v>7000</v>
      </c>
      <c r="B95" s="18">
        <f t="shared" si="66"/>
        <v>121</v>
      </c>
      <c r="C95" s="13">
        <f t="shared" si="57"/>
        <v>0</v>
      </c>
      <c r="D95" s="14">
        <f t="shared" si="67"/>
        <v>10.41075311326349</v>
      </c>
      <c r="E95" s="14">
        <f t="shared" si="68"/>
        <v>12.666416287803914</v>
      </c>
      <c r="F95" s="14">
        <f t="shared" si="74"/>
        <v>20</v>
      </c>
      <c r="G95" s="14">
        <f t="shared" si="75"/>
        <v>42.97098743707052</v>
      </c>
      <c r="H95" s="14">
        <f t="shared" si="69"/>
        <v>260.36259627512555</v>
      </c>
      <c r="I95" s="15">
        <f t="shared" si="70"/>
        <v>2.6586028792303606</v>
      </c>
      <c r="J95">
        <f t="shared" si="71"/>
        <v>2</v>
      </c>
      <c r="K95" s="8">
        <f t="shared" si="72"/>
        <v>39.516172753821635</v>
      </c>
      <c r="L95">
        <f t="shared" si="73"/>
        <v>1248</v>
      </c>
      <c r="O95">
        <f t="shared" si="58"/>
        <v>72</v>
      </c>
      <c r="P95">
        <f t="shared" si="59"/>
        <v>0</v>
      </c>
      <c r="Q95">
        <f t="shared" si="60"/>
        <v>0</v>
      </c>
      <c r="R95">
        <f t="shared" si="61"/>
        <v>62</v>
      </c>
      <c r="S95">
        <f t="shared" si="62"/>
        <v>121</v>
      </c>
      <c r="T95">
        <f t="shared" si="63"/>
        <v>0</v>
      </c>
      <c r="U95">
        <f t="shared" si="64"/>
        <v>121</v>
      </c>
    </row>
    <row r="96" spans="1:21" ht="12.75">
      <c r="A96">
        <f t="shared" si="65"/>
        <v>8000</v>
      </c>
      <c r="B96" s="18">
        <f t="shared" si="66"/>
        <v>121.5</v>
      </c>
      <c r="C96" s="13">
        <f t="shared" si="57"/>
        <v>0</v>
      </c>
      <c r="D96" s="14">
        <f t="shared" si="67"/>
        <v>11.89800355801542</v>
      </c>
      <c r="E96" s="14">
        <f t="shared" si="68"/>
        <v>14.47590432891876</v>
      </c>
      <c r="F96" s="14">
        <f t="shared" si="74"/>
        <v>23.333333333333332</v>
      </c>
      <c r="G96" s="14">
        <f t="shared" si="75"/>
        <v>50.23903227547334</v>
      </c>
      <c r="H96" s="14">
        <f t="shared" si="69"/>
        <v>251.2850633956079</v>
      </c>
      <c r="I96" s="15">
        <f t="shared" si="70"/>
        <v>2.655378770375219</v>
      </c>
      <c r="J96">
        <f t="shared" si="71"/>
        <v>2</v>
      </c>
      <c r="K96" s="8">
        <f t="shared" si="72"/>
        <v>39.32272622251314</v>
      </c>
      <c r="L96">
        <f t="shared" si="73"/>
        <v>1247</v>
      </c>
      <c r="O96">
        <f t="shared" si="58"/>
        <v>74</v>
      </c>
      <c r="P96">
        <f t="shared" si="59"/>
        <v>0</v>
      </c>
      <c r="Q96">
        <f t="shared" si="60"/>
        <v>0</v>
      </c>
      <c r="R96">
        <f t="shared" si="61"/>
        <v>62</v>
      </c>
      <c r="S96">
        <f t="shared" si="62"/>
        <v>121.5</v>
      </c>
      <c r="T96">
        <f t="shared" si="63"/>
        <v>0</v>
      </c>
      <c r="U96">
        <f t="shared" si="64"/>
        <v>121.5</v>
      </c>
    </row>
    <row r="97" spans="1:21" ht="12.75">
      <c r="A97">
        <f t="shared" si="65"/>
        <v>9000</v>
      </c>
      <c r="B97" s="18">
        <f t="shared" si="66"/>
        <v>120.5</v>
      </c>
      <c r="C97" s="13">
        <f t="shared" si="57"/>
        <v>0</v>
      </c>
      <c r="D97" s="14">
        <f t="shared" si="67"/>
        <v>13.385254002767347</v>
      </c>
      <c r="E97" s="14">
        <f t="shared" si="68"/>
        <v>16.285392370033605</v>
      </c>
      <c r="F97" s="14">
        <f t="shared" si="74"/>
        <v>26.666666666666668</v>
      </c>
      <c r="G97" s="14">
        <f t="shared" si="75"/>
        <v>57.17326294593283</v>
      </c>
      <c r="H97" s="14">
        <f t="shared" si="69"/>
        <v>242.54134468403356</v>
      </c>
      <c r="I97" s="15">
        <f t="shared" si="70"/>
        <v>2.6803232533483836</v>
      </c>
      <c r="J97">
        <f t="shared" si="71"/>
        <v>2</v>
      </c>
      <c r="K97" s="8">
        <f t="shared" si="72"/>
        <v>40.81939520090302</v>
      </c>
      <c r="L97">
        <f t="shared" si="73"/>
        <v>1258</v>
      </c>
      <c r="O97">
        <f t="shared" si="58"/>
        <v>76</v>
      </c>
      <c r="P97">
        <f t="shared" si="59"/>
        <v>0</v>
      </c>
      <c r="Q97">
        <f t="shared" si="60"/>
        <v>0</v>
      </c>
      <c r="R97">
        <f t="shared" si="61"/>
        <v>62</v>
      </c>
      <c r="S97">
        <f t="shared" si="62"/>
        <v>120.5</v>
      </c>
      <c r="T97">
        <f t="shared" si="63"/>
        <v>0</v>
      </c>
      <c r="U97">
        <f t="shared" si="64"/>
        <v>120.5</v>
      </c>
    </row>
    <row r="98" spans="1:21" ht="12.75">
      <c r="A98">
        <f t="shared" si="65"/>
        <v>10000</v>
      </c>
      <c r="B98" s="18">
        <f t="shared" si="66"/>
        <v>119.5</v>
      </c>
      <c r="C98" s="13">
        <f t="shared" si="57"/>
        <v>0</v>
      </c>
      <c r="D98" s="14">
        <f t="shared" si="67"/>
        <v>14.872504447519274</v>
      </c>
      <c r="E98" s="14">
        <f t="shared" si="68"/>
        <v>18.09488041114845</v>
      </c>
      <c r="F98" s="14">
        <f t="shared" si="74"/>
        <v>30</v>
      </c>
      <c r="G98" s="14">
        <f t="shared" si="75"/>
        <v>64.04680013131168</v>
      </c>
      <c r="H98" s="14">
        <f t="shared" si="69"/>
        <v>233.8583194575399</v>
      </c>
      <c r="I98" s="15">
        <f t="shared" si="70"/>
        <v>2.7048484587072448</v>
      </c>
      <c r="J98">
        <f t="shared" si="71"/>
        <v>2</v>
      </c>
      <c r="K98" s="8">
        <f t="shared" si="72"/>
        <v>42.290907522434686</v>
      </c>
      <c r="L98">
        <f t="shared" si="73"/>
        <v>1270</v>
      </c>
      <c r="O98">
        <f t="shared" si="58"/>
        <v>78</v>
      </c>
      <c r="P98">
        <f t="shared" si="59"/>
        <v>0</v>
      </c>
      <c r="Q98">
        <f t="shared" si="60"/>
        <v>0</v>
      </c>
      <c r="R98">
        <f t="shared" si="61"/>
        <v>62</v>
      </c>
      <c r="S98">
        <f t="shared" si="62"/>
        <v>119.5</v>
      </c>
      <c r="T98">
        <f t="shared" si="63"/>
        <v>0</v>
      </c>
      <c r="U98">
        <f t="shared" si="64"/>
        <v>119.5</v>
      </c>
    </row>
    <row r="109" spans="2:6" ht="12.75">
      <c r="B109" t="s">
        <v>144</v>
      </c>
      <c r="D109" t="s">
        <v>145</v>
      </c>
      <c r="E109" t="s">
        <v>146</v>
      </c>
      <c r="F109" t="s">
        <v>147</v>
      </c>
    </row>
    <row r="110" spans="3:5" ht="12.75">
      <c r="C110" s="2" t="s">
        <v>148</v>
      </c>
      <c r="D110">
        <v>183</v>
      </c>
      <c r="E110">
        <v>70</v>
      </c>
    </row>
    <row r="111" spans="3:5" ht="12.75">
      <c r="C111" s="2" t="s">
        <v>149</v>
      </c>
      <c r="D111">
        <v>348</v>
      </c>
      <c r="E111">
        <v>200</v>
      </c>
    </row>
    <row r="112" spans="2:6" ht="12.75">
      <c r="B112" t="s">
        <v>150</v>
      </c>
      <c r="D112">
        <v>141</v>
      </c>
      <c r="E112">
        <v>188</v>
      </c>
      <c r="F112">
        <v>8</v>
      </c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  <rowBreaks count="1" manualBreakCount="1">
    <brk id="5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Ramebäck</dc:creator>
  <cp:keywords/>
  <dc:description/>
  <cp:lastModifiedBy>Allan Emrén</cp:lastModifiedBy>
  <cp:lastPrinted>1998-05-18T17:22:47Z</cp:lastPrinted>
  <dcterms:created xsi:type="dcterms:W3CDTF">1998-05-01T19:32:38Z</dcterms:created>
  <dcterms:modified xsi:type="dcterms:W3CDTF">2007-07-27T08:35:29Z</dcterms:modified>
  <cp:category/>
  <cp:version/>
  <cp:contentType/>
  <cp:contentStatus/>
</cp:coreProperties>
</file>